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095"/>
  </bookViews>
  <sheets>
    <sheet name="Precisión CLSI A3" sheetId="1" r:id="rId1"/>
    <sheet name=" Veracidad CLSI A3" sheetId="7" r:id="rId2"/>
    <sheet name="Cálculo t" sheetId="8" r:id="rId3"/>
    <sheet name="Hoja1" sheetId="3" state="hidden" r:id="rId4"/>
  </sheets>
  <definedNames>
    <definedName name="_xlnm.Print_Area" localSheetId="1">' Veracidad CLSI A3'!$A$1:$Y$181</definedName>
    <definedName name="_xlnm.Print_Area" localSheetId="0">'Precisión CLSI A3'!$A$1:$Y$193</definedName>
    <definedName name="CVR_Obtenido_en_condiciones_de_Repetibilidad">'Precisión CLSI A3'!$B$124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B129" i="7"/>
  <c r="C129" i="7"/>
  <c r="D129" i="7"/>
  <c r="B130" i="7"/>
  <c r="C131" i="7"/>
  <c r="B136" i="7" s="1"/>
  <c r="D138" i="7" l="1"/>
  <c r="G6" i="8" l="1"/>
  <c r="B3" i="8" l="1"/>
  <c r="E3" i="8"/>
  <c r="F3" i="8"/>
  <c r="I3" i="8"/>
  <c r="H3" i="8"/>
  <c r="G3" i="8"/>
  <c r="B127" i="7" l="1"/>
  <c r="G12" i="8"/>
  <c r="G10" i="8"/>
  <c r="B5" i="8" l="1"/>
  <c r="I5" i="8"/>
  <c r="H5" i="8"/>
  <c r="I10" i="8"/>
  <c r="F5" i="8"/>
  <c r="E5" i="8"/>
  <c r="F6" i="8"/>
  <c r="F7" i="8" s="1"/>
  <c r="G7" i="8"/>
  <c r="H6" i="8"/>
  <c r="H7" i="8" s="1"/>
  <c r="I6" i="8"/>
  <c r="I7" i="8" s="1"/>
  <c r="E6" i="8" l="1"/>
  <c r="E7" i="8" s="1"/>
  <c r="B6" i="8"/>
  <c r="B7" i="8" s="1"/>
  <c r="F28" i="7" l="1"/>
  <c r="C175" i="7" l="1"/>
  <c r="C163" i="7"/>
  <c r="C152" i="7"/>
  <c r="C177" i="7" l="1"/>
  <c r="B135" i="7"/>
  <c r="D144" i="7" s="1"/>
  <c r="C117" i="7"/>
  <c r="C121" i="7" s="1"/>
  <c r="C116" i="7"/>
  <c r="E121" i="7" l="1"/>
  <c r="D121" i="7" s="1"/>
  <c r="C122" i="7"/>
  <c r="E122" i="7" s="1"/>
  <c r="D122" i="7" s="1"/>
  <c r="C119" i="7"/>
  <c r="E119" i="7" s="1"/>
  <c r="D119" i="7" s="1"/>
  <c r="C120" i="7"/>
  <c r="E120" i="7" s="1"/>
  <c r="D120" i="7" s="1"/>
  <c r="C123" i="7"/>
  <c r="E123" i="7" s="1"/>
  <c r="D123" i="7" s="1"/>
  <c r="B138" i="7"/>
  <c r="F26" i="7"/>
  <c r="F27" i="7" s="1"/>
  <c r="B111" i="7"/>
  <c r="F121" i="7" l="1"/>
  <c r="F120" i="7"/>
  <c r="G120" i="7" s="1"/>
  <c r="F122" i="7"/>
  <c r="G122" i="7" s="1"/>
  <c r="G121" i="7"/>
  <c r="F123" i="7"/>
  <c r="G123" i="7" s="1"/>
  <c r="F119" i="7"/>
  <c r="G119" i="7" s="1"/>
  <c r="C154" i="7"/>
  <c r="C165" i="7"/>
  <c r="B86" i="7"/>
  <c r="B85" i="7"/>
  <c r="B87" i="7" l="1"/>
  <c r="B92" i="7" s="1"/>
  <c r="B77" i="7"/>
  <c r="B76" i="7"/>
  <c r="B62" i="7"/>
  <c r="B65" i="7" s="1"/>
  <c r="C145" i="7" s="1"/>
  <c r="K19" i="7"/>
  <c r="K17" i="7"/>
  <c r="B101" i="7" l="1"/>
  <c r="F21" i="7"/>
  <c r="C174" i="7" l="1"/>
  <c r="C176" i="7" s="1"/>
  <c r="C178" i="7" s="1"/>
  <c r="C162" i="7"/>
  <c r="C164" i="7" s="1"/>
  <c r="C166" i="7" s="1"/>
  <c r="B163" i="1" l="1"/>
  <c r="B123" i="1"/>
  <c r="C92" i="1"/>
  <c r="B172" i="1" l="1"/>
  <c r="B173" i="1"/>
  <c r="B174" i="1" l="1"/>
  <c r="M24" i="1" l="1"/>
  <c r="M45" i="1"/>
  <c r="M46" i="1"/>
  <c r="M47" i="1"/>
  <c r="M48" i="1"/>
  <c r="M44" i="1"/>
  <c r="M40" i="1"/>
  <c r="M41" i="1"/>
  <c r="M42" i="1"/>
  <c r="M43" i="1"/>
  <c r="M39" i="1"/>
  <c r="M35" i="1"/>
  <c r="M36" i="1"/>
  <c r="M37" i="1"/>
  <c r="M38" i="1"/>
  <c r="M34" i="1"/>
  <c r="M33" i="1"/>
  <c r="M30" i="1"/>
  <c r="M31" i="1"/>
  <c r="M32" i="1"/>
  <c r="M29" i="1"/>
  <c r="M25" i="1"/>
  <c r="M26" i="1"/>
  <c r="M27" i="1"/>
  <c r="M28" i="1"/>
  <c r="R4" i="1" l="1"/>
  <c r="S4" i="1"/>
  <c r="T4" i="1"/>
  <c r="U4" i="1"/>
  <c r="Q4" i="1"/>
  <c r="B179" i="1" l="1"/>
  <c r="B177" i="1"/>
  <c r="B138" i="1"/>
  <c r="B133" i="1"/>
  <c r="B132" i="1"/>
  <c r="F111" i="1"/>
  <c r="D111" i="1"/>
  <c r="A110" i="1"/>
  <c r="C93" i="1"/>
  <c r="B47" i="1"/>
  <c r="B48" i="1" s="1"/>
  <c r="F31" i="1"/>
  <c r="F34" i="1" s="1"/>
  <c r="E31" i="1"/>
  <c r="E34" i="1" s="1"/>
  <c r="E45" i="1" s="1"/>
  <c r="E46" i="1" s="1"/>
  <c r="D31" i="1"/>
  <c r="D34" i="1" s="1"/>
  <c r="D47" i="1" s="1"/>
  <c r="D48" i="1" s="1"/>
  <c r="C31" i="1"/>
  <c r="C34" i="1" s="1"/>
  <c r="B31" i="1"/>
  <c r="B34" i="1" s="1"/>
  <c r="M18" i="1"/>
  <c r="M17" i="1"/>
  <c r="G17" i="1"/>
  <c r="C111" i="1" s="1"/>
  <c r="U9" i="1"/>
  <c r="T9" i="1"/>
  <c r="S9" i="1"/>
  <c r="R9" i="1"/>
  <c r="Q9" i="1"/>
  <c r="U8" i="1"/>
  <c r="T8" i="1"/>
  <c r="S8" i="1"/>
  <c r="R8" i="1"/>
  <c r="Q8" i="1"/>
  <c r="U7" i="1"/>
  <c r="T7" i="1"/>
  <c r="S7" i="1"/>
  <c r="R7" i="1"/>
  <c r="Q7" i="1"/>
  <c r="U6" i="1"/>
  <c r="T6" i="1"/>
  <c r="S6" i="1"/>
  <c r="R6" i="1"/>
  <c r="Q6" i="1"/>
  <c r="U5" i="1"/>
  <c r="T5" i="1"/>
  <c r="S5" i="1"/>
  <c r="R5" i="1"/>
  <c r="Q5" i="1"/>
  <c r="Q71" i="1" l="1"/>
  <c r="F47" i="1"/>
  <c r="F48" i="1" s="1"/>
  <c r="Q60" i="1"/>
  <c r="Q61" i="1" s="1"/>
  <c r="R60" i="1" s="1"/>
  <c r="H91" i="1" s="1"/>
  <c r="Q56" i="1"/>
  <c r="Q57" i="1" s="1"/>
  <c r="R56" i="1" s="1"/>
  <c r="H87" i="1" s="1"/>
  <c r="Q58" i="1"/>
  <c r="Q59" i="1" s="1"/>
  <c r="R58" i="1" s="1"/>
  <c r="H89" i="1" s="1"/>
  <c r="Q54" i="1"/>
  <c r="Q55" i="1" s="1"/>
  <c r="B58" i="1"/>
  <c r="B111" i="1"/>
  <c r="J111" i="1"/>
  <c r="Q29" i="1"/>
  <c r="S14" i="1" s="1"/>
  <c r="S15" i="1" s="1"/>
  <c r="C94" i="1"/>
  <c r="S12" i="1"/>
  <c r="S13" i="1" s="1"/>
  <c r="E39" i="1"/>
  <c r="E40" i="1" s="1"/>
  <c r="E43" i="1"/>
  <c r="E44" i="1" s="1"/>
  <c r="E47" i="1"/>
  <c r="E48" i="1" s="1"/>
  <c r="B178" i="1"/>
  <c r="B182" i="1" s="1"/>
  <c r="C41" i="1"/>
  <c r="C42" i="1" s="1"/>
  <c r="C45" i="1"/>
  <c r="C46" i="1" s="1"/>
  <c r="H111" i="1"/>
  <c r="C39" i="1"/>
  <c r="C40" i="1" s="1"/>
  <c r="E41" i="1"/>
  <c r="E42" i="1" s="1"/>
  <c r="C43" i="1"/>
  <c r="C44" i="1" s="1"/>
  <c r="C47" i="1"/>
  <c r="C48" i="1" s="1"/>
  <c r="B134" i="1"/>
  <c r="B176" i="1"/>
  <c r="B180" i="1" s="1"/>
  <c r="B187" i="1" s="1"/>
  <c r="B181" i="1"/>
  <c r="B39" i="1"/>
  <c r="B40" i="1" s="1"/>
  <c r="D39" i="1"/>
  <c r="D40" i="1" s="1"/>
  <c r="F39" i="1"/>
  <c r="F40" i="1" s="1"/>
  <c r="B41" i="1"/>
  <c r="B42" i="1" s="1"/>
  <c r="D41" i="1"/>
  <c r="D42" i="1" s="1"/>
  <c r="F41" i="1"/>
  <c r="F42" i="1" s="1"/>
  <c r="B43" i="1"/>
  <c r="B44" i="1" s="1"/>
  <c r="D43" i="1"/>
  <c r="D44" i="1" s="1"/>
  <c r="F43" i="1"/>
  <c r="F44" i="1" s="1"/>
  <c r="B45" i="1"/>
  <c r="B46" i="1" s="1"/>
  <c r="D45" i="1"/>
  <c r="D46" i="1" s="1"/>
  <c r="F45" i="1"/>
  <c r="F46" i="1" s="1"/>
  <c r="R54" i="1" l="1"/>
  <c r="Q62" i="1"/>
  <c r="Q63" i="1" s="1"/>
  <c r="R62" i="1" s="1"/>
  <c r="H93" i="1" s="1"/>
  <c r="Q18" i="1"/>
  <c r="Q19" i="1" s="1"/>
  <c r="R20" i="1"/>
  <c r="R21" i="1" s="1"/>
  <c r="Q14" i="1"/>
  <c r="Q15" i="1" s="1"/>
  <c r="T18" i="1"/>
  <c r="T19" i="1" s="1"/>
  <c r="T14" i="1"/>
  <c r="T15" i="1" s="1"/>
  <c r="U18" i="1"/>
  <c r="U19" i="1" s="1"/>
  <c r="R16" i="1"/>
  <c r="R17" i="1" s="1"/>
  <c r="U20" i="1"/>
  <c r="U21" i="1" s="1"/>
  <c r="T12" i="1"/>
  <c r="T13" i="1" s="1"/>
  <c r="S16" i="1"/>
  <c r="S17" i="1" s="1"/>
  <c r="S20" i="1"/>
  <c r="S21" i="1" s="1"/>
  <c r="S18" i="1"/>
  <c r="S19" i="1" s="1"/>
  <c r="T16" i="1"/>
  <c r="T17" i="1" s="1"/>
  <c r="T20" i="1"/>
  <c r="T21" i="1" s="1"/>
  <c r="Q12" i="1"/>
  <c r="Q13" i="1" s="1"/>
  <c r="Q20" i="1"/>
  <c r="Q21" i="1" s="1"/>
  <c r="U14" i="1"/>
  <c r="U15" i="1" s="1"/>
  <c r="R12" i="1"/>
  <c r="R13" i="1" s="1"/>
  <c r="R18" i="1"/>
  <c r="R19" i="1" s="1"/>
  <c r="R14" i="1"/>
  <c r="R15" i="1" s="1"/>
  <c r="G91" i="1"/>
  <c r="U16" i="1"/>
  <c r="U17" i="1" s="1"/>
  <c r="Q16" i="1"/>
  <c r="Q17" i="1" s="1"/>
  <c r="U12" i="1"/>
  <c r="U13" i="1" s="1"/>
  <c r="E49" i="1"/>
  <c r="E52" i="1" s="1"/>
  <c r="D49" i="1"/>
  <c r="D52" i="1" s="1"/>
  <c r="G89" i="1"/>
  <c r="F49" i="1"/>
  <c r="F52" i="1" s="1"/>
  <c r="G93" i="1"/>
  <c r="B49" i="1"/>
  <c r="G86" i="1"/>
  <c r="B136" i="1"/>
  <c r="B140" i="1" s="1"/>
  <c r="B137" i="1"/>
  <c r="B141" i="1" s="1"/>
  <c r="B135" i="1"/>
  <c r="B139" i="1" s="1"/>
  <c r="B146" i="1" s="1"/>
  <c r="G87" i="1"/>
  <c r="C49" i="1"/>
  <c r="C52" i="1" s="1"/>
  <c r="H86" i="1" l="1"/>
  <c r="H95" i="1" s="1"/>
  <c r="B92" i="1" s="1"/>
  <c r="R64" i="1"/>
  <c r="Q64" i="1"/>
  <c r="Q76" i="1" s="1"/>
  <c r="Q78" i="1" s="1"/>
  <c r="Q22" i="1"/>
  <c r="R22" i="1"/>
  <c r="I87" i="1" s="1"/>
  <c r="T22" i="1"/>
  <c r="I91" i="1" s="1"/>
  <c r="S22" i="1"/>
  <c r="I89" i="1" s="1"/>
  <c r="U22" i="1"/>
  <c r="I93" i="1" s="1"/>
  <c r="B52" i="1"/>
  <c r="B61" i="1" s="1"/>
  <c r="B76" i="1" s="1"/>
  <c r="B24" i="7" s="1"/>
  <c r="B75" i="7" s="1"/>
  <c r="G50" i="1"/>
  <c r="G95" i="1"/>
  <c r="B93" i="1" s="1"/>
  <c r="D93" i="1" s="1"/>
  <c r="B23" i="7" l="1"/>
  <c r="B74" i="7" s="1"/>
  <c r="I86" i="1"/>
  <c r="I95" i="1" s="1"/>
  <c r="B94" i="1" s="1"/>
  <c r="Q34" i="1"/>
  <c r="Q36" i="1" s="1"/>
  <c r="H23" i="1" s="1"/>
  <c r="V23" i="1"/>
  <c r="B64" i="1"/>
  <c r="I23" i="1" l="1"/>
  <c r="N25" i="1" s="1"/>
  <c r="D94" i="1"/>
  <c r="D92" i="1"/>
  <c r="B66" i="1"/>
  <c r="N32" i="1" l="1"/>
  <c r="N48" i="1"/>
  <c r="N41" i="1"/>
  <c r="N40" i="1"/>
  <c r="N24" i="1"/>
  <c r="N33" i="1"/>
  <c r="N44" i="1"/>
  <c r="N36" i="1"/>
  <c r="N28" i="1"/>
  <c r="N45" i="1"/>
  <c r="N37" i="1"/>
  <c r="N29" i="1"/>
  <c r="B124" i="1"/>
  <c r="B126" i="1" s="1"/>
  <c r="B147" i="1"/>
  <c r="B149" i="1" s="1"/>
  <c r="B68" i="1"/>
  <c r="B78" i="1" s="1"/>
  <c r="N46" i="1"/>
  <c r="N42" i="1"/>
  <c r="N38" i="1"/>
  <c r="N34" i="1"/>
  <c r="N30" i="1"/>
  <c r="N26" i="1"/>
  <c r="N47" i="1"/>
  <c r="N43" i="1"/>
  <c r="N39" i="1"/>
  <c r="N35" i="1"/>
  <c r="N31" i="1"/>
  <c r="N27" i="1"/>
  <c r="B79" i="1" l="1"/>
  <c r="B164" i="1" s="1"/>
  <c r="B166" i="1" s="1"/>
  <c r="B78" i="7"/>
  <c r="B71" i="1"/>
  <c r="B73" i="1" s="1"/>
  <c r="B188" i="1"/>
  <c r="B190" i="1" s="1"/>
  <c r="B91" i="7" l="1"/>
  <c r="B93" i="7" s="1"/>
  <c r="B137" i="7" s="1"/>
  <c r="B100" i="7"/>
  <c r="B102" i="7" s="1"/>
  <c r="B139" i="7" l="1"/>
  <c r="C144" i="7" s="1"/>
  <c r="B140" i="7"/>
  <c r="E144" i="7" s="1"/>
  <c r="E138" i="7"/>
  <c r="C153" i="7" l="1"/>
  <c r="C155" i="7" s="1"/>
  <c r="C146" i="7"/>
</calcChain>
</file>

<file path=xl/sharedStrings.xml><?xml version="1.0" encoding="utf-8"?>
<sst xmlns="http://schemas.openxmlformats.org/spreadsheetml/2006/main" count="869" uniqueCount="757">
  <si>
    <t>Verificación del Desempeño de la Precisión y Veracidad                                                                                             por el Usuario</t>
  </si>
  <si>
    <t>Código</t>
  </si>
  <si>
    <t>PO_02_REG_005   EP15 - A3  CLSI</t>
  </si>
  <si>
    <t>Página</t>
  </si>
  <si>
    <t>Revisión</t>
  </si>
  <si>
    <t>Fecha de revisión</t>
  </si>
  <si>
    <t>Precisión del Laboratorio</t>
  </si>
  <si>
    <t>Número de replicados,              n</t>
  </si>
  <si>
    <t xml:space="preserve">La precisión del laboratorio se calcula utilizando las fórmulas siguientes. Estos cálculos se basan en el método de varianza de componentes : </t>
  </si>
  <si>
    <t>Número de días de medición,   D</t>
  </si>
  <si>
    <t>Documento EP5 de CLSI / NCCLS " Evaluación de Desempeño de Precisión en Métodos de Medición Cuantitativos"</t>
  </si>
  <si>
    <t>Instrumento</t>
  </si>
  <si>
    <t>Analito</t>
  </si>
  <si>
    <t>Ferritina</t>
  </si>
  <si>
    <t>Unidades</t>
  </si>
  <si>
    <t>N° de serie</t>
  </si>
  <si>
    <t>Concentración</t>
  </si>
  <si>
    <t>Material de control</t>
  </si>
  <si>
    <t>Lote Reactivo</t>
  </si>
  <si>
    <t>Lote</t>
  </si>
  <si>
    <t>Vencimiento del reactivo</t>
  </si>
  <si>
    <t>Operador</t>
  </si>
  <si>
    <t>TM. Jorge Orellana</t>
  </si>
  <si>
    <t>Referencia</t>
  </si>
  <si>
    <t>VB mínima</t>
  </si>
  <si>
    <r>
      <t xml:space="preserve"> CV% Fabricante     S</t>
    </r>
    <r>
      <rPr>
        <vertAlign val="subscript"/>
        <sz val="12"/>
        <rFont val="Arial"/>
        <family val="2"/>
      </rPr>
      <t>R</t>
    </r>
    <r>
      <rPr>
        <sz val="12"/>
        <rFont val="Arial"/>
        <family val="2"/>
      </rPr>
      <t xml:space="preserve">   /  CV</t>
    </r>
    <r>
      <rPr>
        <vertAlign val="subscript"/>
        <sz val="12"/>
        <rFont val="Arial"/>
        <family val="2"/>
      </rPr>
      <t xml:space="preserve">R      </t>
    </r>
    <r>
      <rPr>
        <sz val="12"/>
        <rFont val="Arial"/>
        <family val="2"/>
      </rPr>
      <t xml:space="preserve"> (Repetibilidad)</t>
    </r>
  </si>
  <si>
    <t>Grados de Libertad, Between run</t>
  </si>
  <si>
    <r>
      <t xml:space="preserve"> CV% Fabricante     S</t>
    </r>
    <r>
      <rPr>
        <vertAlign val="subscript"/>
        <sz val="12"/>
        <rFont val="Arial"/>
        <family val="2"/>
      </rPr>
      <t>WL</t>
    </r>
    <r>
      <rPr>
        <sz val="12"/>
        <rFont val="Arial"/>
        <family val="2"/>
      </rPr>
      <t xml:space="preserve">  /  CV</t>
    </r>
    <r>
      <rPr>
        <vertAlign val="subscript"/>
        <sz val="12"/>
        <rFont val="Arial"/>
        <family val="2"/>
      </rPr>
      <t>WL</t>
    </r>
    <r>
      <rPr>
        <sz val="12"/>
        <rFont val="Arial"/>
        <family val="2"/>
      </rPr>
      <t xml:space="preserve">  (Intralaboratorio)</t>
    </r>
  </si>
  <si>
    <t>Grados de Libertad, Within run, repetibilidad</t>
  </si>
  <si>
    <t>Corrida</t>
  </si>
  <si>
    <t>Corrida 1</t>
  </si>
  <si>
    <t>Corrida 2</t>
  </si>
  <si>
    <t>Corrida 3</t>
  </si>
  <si>
    <t>Corrida 4</t>
  </si>
  <si>
    <t>Corrida 5</t>
  </si>
  <si>
    <t>Límites de Grubbs, Outliers</t>
  </si>
  <si>
    <r>
      <t>∑ (x</t>
    </r>
    <r>
      <rPr>
        <b/>
        <vertAlign val="subscript"/>
        <sz val="10"/>
        <rFont val="Arial"/>
        <family val="2"/>
      </rPr>
      <t>i</t>
    </r>
    <r>
      <rPr>
        <b/>
        <sz val="10"/>
        <rFont val="Arial"/>
        <family val="2"/>
      </rPr>
      <t xml:space="preserve"> - x</t>
    </r>
    <r>
      <rPr>
        <b/>
        <vertAlign val="subscript"/>
        <sz val="10"/>
        <rFont val="Arial"/>
        <family val="2"/>
      </rPr>
      <t>d</t>
    </r>
    <r>
      <rPr>
        <b/>
        <sz val="10"/>
        <rFont val="Arial"/>
        <family val="2"/>
      </rPr>
      <t xml:space="preserve"> )</t>
    </r>
    <r>
      <rPr>
        <b/>
        <vertAlign val="superscript"/>
        <sz val="10"/>
        <rFont val="Arial"/>
        <family val="2"/>
      </rPr>
      <t>2</t>
    </r>
    <r>
      <rPr>
        <b/>
        <sz val="10"/>
        <rFont val="Arial"/>
        <family val="2"/>
      </rPr>
      <t xml:space="preserve"> = (x</t>
    </r>
    <r>
      <rPr>
        <b/>
        <vertAlign val="subscript"/>
        <sz val="10"/>
        <rFont val="Arial"/>
        <family val="2"/>
      </rPr>
      <t>1</t>
    </r>
    <r>
      <rPr>
        <b/>
        <sz val="10"/>
        <rFont val="Arial"/>
        <family val="2"/>
      </rPr>
      <t xml:space="preserve"> - x</t>
    </r>
    <r>
      <rPr>
        <b/>
        <vertAlign val="subscript"/>
        <sz val="10"/>
        <rFont val="Arial"/>
        <family val="2"/>
      </rPr>
      <t>d</t>
    </r>
    <r>
      <rPr>
        <b/>
        <sz val="10"/>
        <rFont val="Arial"/>
        <family val="2"/>
      </rPr>
      <t>)</t>
    </r>
    <r>
      <rPr>
        <b/>
        <vertAlign val="superscript"/>
        <sz val="10"/>
        <rFont val="Arial"/>
        <family val="2"/>
      </rPr>
      <t>2</t>
    </r>
    <r>
      <rPr>
        <b/>
        <sz val="10"/>
        <rFont val="Arial"/>
        <family val="2"/>
      </rPr>
      <t xml:space="preserve"> + (x</t>
    </r>
    <r>
      <rPr>
        <b/>
        <vertAlign val="subscript"/>
        <sz val="10"/>
        <rFont val="Arial"/>
        <family val="2"/>
      </rPr>
      <t>2</t>
    </r>
    <r>
      <rPr>
        <b/>
        <sz val="10"/>
        <rFont val="Arial"/>
        <family val="2"/>
      </rPr>
      <t xml:space="preserve"> - x</t>
    </r>
    <r>
      <rPr>
        <b/>
        <vertAlign val="subscript"/>
        <sz val="10"/>
        <rFont val="Arial"/>
        <family val="2"/>
      </rPr>
      <t>d</t>
    </r>
    <r>
      <rPr>
        <b/>
        <sz val="10"/>
        <rFont val="Arial"/>
        <family val="2"/>
      </rPr>
      <t>)</t>
    </r>
    <r>
      <rPr>
        <b/>
        <vertAlign val="superscript"/>
        <sz val="10"/>
        <rFont val="Arial"/>
        <family val="2"/>
      </rPr>
      <t>2</t>
    </r>
    <r>
      <rPr>
        <b/>
        <sz val="10"/>
        <rFont val="Arial"/>
        <family val="2"/>
      </rPr>
      <t xml:space="preserve"> + (x</t>
    </r>
    <r>
      <rPr>
        <b/>
        <vertAlign val="subscript"/>
        <sz val="10"/>
        <rFont val="Arial"/>
        <family val="2"/>
      </rPr>
      <t>3</t>
    </r>
    <r>
      <rPr>
        <b/>
        <sz val="10"/>
        <rFont val="Arial"/>
        <family val="2"/>
      </rPr>
      <t xml:space="preserve"> -x</t>
    </r>
    <r>
      <rPr>
        <b/>
        <vertAlign val="subscript"/>
        <sz val="10"/>
        <rFont val="Arial"/>
        <family val="2"/>
      </rPr>
      <t>d</t>
    </r>
    <r>
      <rPr>
        <b/>
        <sz val="10"/>
        <rFont val="Arial"/>
        <family val="2"/>
      </rPr>
      <t>)</t>
    </r>
    <r>
      <rPr>
        <b/>
        <vertAlign val="superscript"/>
        <sz val="10"/>
        <rFont val="Arial"/>
        <family val="2"/>
      </rPr>
      <t xml:space="preserve">2 + </t>
    </r>
    <r>
      <rPr>
        <b/>
        <sz val="10"/>
        <rFont val="Arial"/>
        <family val="2"/>
      </rPr>
      <t>(x</t>
    </r>
    <r>
      <rPr>
        <b/>
        <vertAlign val="subscript"/>
        <sz val="10"/>
        <rFont val="Arial"/>
        <family val="2"/>
      </rPr>
      <t>4</t>
    </r>
    <r>
      <rPr>
        <b/>
        <vertAlign val="superscript"/>
        <sz val="10"/>
        <rFont val="Arial"/>
        <family val="2"/>
      </rPr>
      <t xml:space="preserve"> - </t>
    </r>
    <r>
      <rPr>
        <b/>
        <sz val="10"/>
        <rFont val="Arial"/>
        <family val="2"/>
      </rPr>
      <t>x</t>
    </r>
    <r>
      <rPr>
        <b/>
        <vertAlign val="subscript"/>
        <sz val="10"/>
        <rFont val="Arial"/>
        <family val="2"/>
      </rPr>
      <t>d</t>
    </r>
    <r>
      <rPr>
        <b/>
        <sz val="10"/>
        <rFont val="Arial"/>
        <family val="2"/>
      </rPr>
      <t>)</t>
    </r>
    <r>
      <rPr>
        <b/>
        <vertAlign val="superscript"/>
        <sz val="10"/>
        <rFont val="Arial"/>
        <family val="2"/>
      </rPr>
      <t xml:space="preserve">2 + </t>
    </r>
    <r>
      <rPr>
        <b/>
        <sz val="10"/>
        <rFont val="Arial"/>
        <family val="2"/>
      </rPr>
      <t>(x</t>
    </r>
    <r>
      <rPr>
        <b/>
        <vertAlign val="subscript"/>
        <sz val="10"/>
        <rFont val="Arial"/>
        <family val="2"/>
      </rPr>
      <t>5</t>
    </r>
    <r>
      <rPr>
        <b/>
        <sz val="10"/>
        <rFont val="Arial"/>
        <family val="2"/>
      </rPr>
      <t xml:space="preserve"> - x</t>
    </r>
    <r>
      <rPr>
        <b/>
        <vertAlign val="subscript"/>
        <sz val="10"/>
        <rFont val="Arial"/>
        <family val="2"/>
      </rPr>
      <t>d</t>
    </r>
    <r>
      <rPr>
        <b/>
        <sz val="10"/>
        <rFont val="Arial"/>
        <family val="2"/>
      </rPr>
      <t>)</t>
    </r>
    <r>
      <rPr>
        <b/>
        <vertAlign val="superscript"/>
        <sz val="10"/>
        <rFont val="Arial"/>
        <family val="2"/>
      </rPr>
      <t>2</t>
    </r>
  </si>
  <si>
    <t>i =1</t>
  </si>
  <si>
    <t>D</t>
  </si>
  <si>
    <t xml:space="preserve">x </t>
  </si>
  <si>
    <t>5 Corridas</t>
  </si>
  <si>
    <t>N</t>
  </si>
  <si>
    <t>G</t>
  </si>
  <si>
    <r>
      <t>n</t>
    </r>
    <r>
      <rPr>
        <vertAlign val="subscript"/>
        <sz val="12"/>
        <rFont val="Arial"/>
        <family val="2"/>
      </rPr>
      <t>o</t>
    </r>
  </si>
  <si>
    <r>
      <t>(  x</t>
    </r>
    <r>
      <rPr>
        <b/>
        <vertAlign val="subscript"/>
        <sz val="10"/>
        <rFont val="Arial"/>
        <family val="2"/>
      </rPr>
      <t>1</t>
    </r>
    <r>
      <rPr>
        <b/>
        <sz val="10"/>
        <rFont val="Arial"/>
        <family val="2"/>
      </rPr>
      <t xml:space="preserve"> - x  )</t>
    </r>
    <r>
      <rPr>
        <b/>
        <vertAlign val="superscript"/>
        <sz val="10"/>
        <rFont val="Arial"/>
        <family val="2"/>
      </rPr>
      <t xml:space="preserve">2  </t>
    </r>
    <r>
      <rPr>
        <b/>
        <sz val="10"/>
        <rFont val="Arial"/>
        <family val="2"/>
      </rPr>
      <t>+</t>
    </r>
    <r>
      <rPr>
        <b/>
        <vertAlign val="superscript"/>
        <sz val="10"/>
        <rFont val="Arial"/>
        <family val="2"/>
      </rPr>
      <t xml:space="preserve">  </t>
    </r>
  </si>
  <si>
    <r>
      <t>(  x</t>
    </r>
    <r>
      <rPr>
        <b/>
        <vertAlign val="subscript"/>
        <sz val="10"/>
        <rFont val="Arial"/>
        <family val="2"/>
      </rPr>
      <t>2</t>
    </r>
    <r>
      <rPr>
        <b/>
        <sz val="10"/>
        <rFont val="Arial"/>
        <family val="2"/>
      </rPr>
      <t xml:space="preserve"> - x  )</t>
    </r>
    <r>
      <rPr>
        <b/>
        <vertAlign val="superscript"/>
        <sz val="10"/>
        <rFont val="Arial"/>
        <family val="2"/>
      </rPr>
      <t xml:space="preserve">2  </t>
    </r>
    <r>
      <rPr>
        <b/>
        <sz val="10"/>
        <rFont val="Arial"/>
        <family val="2"/>
      </rPr>
      <t>+</t>
    </r>
    <r>
      <rPr>
        <b/>
        <vertAlign val="superscript"/>
        <sz val="10"/>
        <rFont val="Arial"/>
        <family val="2"/>
      </rPr>
      <t xml:space="preserve">  </t>
    </r>
  </si>
  <si>
    <r>
      <t>(  x</t>
    </r>
    <r>
      <rPr>
        <b/>
        <vertAlign val="subscript"/>
        <sz val="10"/>
        <rFont val="Arial"/>
        <family val="2"/>
      </rPr>
      <t>3</t>
    </r>
    <r>
      <rPr>
        <b/>
        <sz val="10"/>
        <rFont val="Arial"/>
        <family val="2"/>
      </rPr>
      <t xml:space="preserve"> - x  )</t>
    </r>
    <r>
      <rPr>
        <b/>
        <vertAlign val="superscript"/>
        <sz val="10"/>
        <rFont val="Arial"/>
        <family val="2"/>
      </rPr>
      <t xml:space="preserve">2  </t>
    </r>
    <r>
      <rPr>
        <b/>
        <sz val="10"/>
        <rFont val="Arial"/>
        <family val="2"/>
      </rPr>
      <t>+</t>
    </r>
    <r>
      <rPr>
        <b/>
        <vertAlign val="superscript"/>
        <sz val="10"/>
        <rFont val="Arial"/>
        <family val="2"/>
      </rPr>
      <t xml:space="preserve">  </t>
    </r>
  </si>
  <si>
    <r>
      <t>(  x</t>
    </r>
    <r>
      <rPr>
        <b/>
        <vertAlign val="subscript"/>
        <sz val="10"/>
        <rFont val="Arial"/>
        <family val="2"/>
      </rPr>
      <t>4</t>
    </r>
    <r>
      <rPr>
        <b/>
        <sz val="10"/>
        <rFont val="Arial"/>
        <family val="2"/>
      </rPr>
      <t xml:space="preserve"> - x  )</t>
    </r>
    <r>
      <rPr>
        <b/>
        <vertAlign val="superscript"/>
        <sz val="10"/>
        <rFont val="Arial"/>
        <family val="2"/>
      </rPr>
      <t xml:space="preserve">2  </t>
    </r>
    <r>
      <rPr>
        <b/>
        <sz val="10"/>
        <rFont val="Arial"/>
        <family val="2"/>
      </rPr>
      <t>+</t>
    </r>
    <r>
      <rPr>
        <b/>
        <vertAlign val="superscript"/>
        <sz val="10"/>
        <rFont val="Arial"/>
        <family val="2"/>
      </rPr>
      <t xml:space="preserve">  </t>
    </r>
  </si>
  <si>
    <r>
      <t>(  x</t>
    </r>
    <r>
      <rPr>
        <b/>
        <vertAlign val="subscript"/>
        <sz val="10"/>
        <rFont val="Arial"/>
        <family val="2"/>
      </rPr>
      <t>5</t>
    </r>
    <r>
      <rPr>
        <b/>
        <sz val="10"/>
        <rFont val="Arial"/>
        <family val="2"/>
      </rPr>
      <t xml:space="preserve"> - x  )</t>
    </r>
    <r>
      <rPr>
        <b/>
        <vertAlign val="superscript"/>
        <sz val="10"/>
        <rFont val="Arial"/>
        <family val="2"/>
      </rPr>
      <t xml:space="preserve">2   </t>
    </r>
  </si>
  <si>
    <t>D  -  1</t>
  </si>
  <si>
    <r>
      <t>∑ x</t>
    </r>
    <r>
      <rPr>
        <vertAlign val="subscript"/>
        <sz val="12"/>
        <rFont val="Arial"/>
        <family val="2"/>
      </rPr>
      <t>i</t>
    </r>
    <r>
      <rPr>
        <sz val="12"/>
        <rFont val="Arial"/>
        <family val="2"/>
      </rPr>
      <t xml:space="preserve"> = x</t>
    </r>
    <r>
      <rPr>
        <vertAlign val="subscript"/>
        <sz val="12"/>
        <rFont val="Arial"/>
        <family val="2"/>
      </rPr>
      <t>1</t>
    </r>
    <r>
      <rPr>
        <sz val="12"/>
        <rFont val="Arial"/>
        <family val="2"/>
      </rPr>
      <t xml:space="preserve"> + x</t>
    </r>
    <r>
      <rPr>
        <vertAlign val="subscript"/>
        <sz val="12"/>
        <rFont val="Arial"/>
        <family val="2"/>
      </rPr>
      <t>2</t>
    </r>
    <r>
      <rPr>
        <sz val="12"/>
        <rFont val="Arial"/>
        <family val="2"/>
      </rPr>
      <t xml:space="preserve"> + x</t>
    </r>
    <r>
      <rPr>
        <vertAlign val="subscript"/>
        <sz val="12"/>
        <rFont val="Arial"/>
        <family val="2"/>
      </rPr>
      <t xml:space="preserve">3 </t>
    </r>
    <r>
      <rPr>
        <sz val="12"/>
        <rFont val="Arial"/>
        <family val="2"/>
      </rPr>
      <t>+</t>
    </r>
    <r>
      <rPr>
        <vertAlign val="subscript"/>
        <sz val="12"/>
        <rFont val="Arial"/>
        <family val="2"/>
      </rPr>
      <t xml:space="preserve"> </t>
    </r>
    <r>
      <rPr>
        <sz val="12"/>
        <rFont val="Arial"/>
        <family val="2"/>
      </rPr>
      <t>x</t>
    </r>
    <r>
      <rPr>
        <vertAlign val="subscript"/>
        <sz val="12"/>
        <rFont val="Arial"/>
        <family val="2"/>
      </rPr>
      <t xml:space="preserve">4 </t>
    </r>
    <r>
      <rPr>
        <sz val="12"/>
        <rFont val="Arial"/>
        <family val="2"/>
      </rPr>
      <t>+</t>
    </r>
    <r>
      <rPr>
        <vertAlign val="subscript"/>
        <sz val="12"/>
        <rFont val="Arial"/>
        <family val="2"/>
      </rPr>
      <t xml:space="preserve"> </t>
    </r>
    <r>
      <rPr>
        <sz val="12"/>
        <rFont val="Arial"/>
        <family val="2"/>
      </rPr>
      <t>x</t>
    </r>
    <r>
      <rPr>
        <vertAlign val="subscript"/>
        <sz val="12"/>
        <rFont val="Arial"/>
        <family val="2"/>
      </rPr>
      <t>5</t>
    </r>
  </si>
  <si>
    <t xml:space="preserve"> Varianza Total</t>
  </si>
  <si>
    <t>n-1</t>
  </si>
  <si>
    <t xml:space="preserve">                                   D      n</t>
  </si>
  <si>
    <r>
      <t xml:space="preserve">                                   ∑      ∑ (x</t>
    </r>
    <r>
      <rPr>
        <b/>
        <vertAlign val="subscript"/>
        <sz val="10"/>
        <rFont val="Arial"/>
        <family val="2"/>
      </rPr>
      <t>i</t>
    </r>
    <r>
      <rPr>
        <b/>
        <sz val="10"/>
        <rFont val="Arial"/>
        <family val="2"/>
      </rPr>
      <t xml:space="preserve"> - x</t>
    </r>
    <r>
      <rPr>
        <b/>
        <vertAlign val="subscript"/>
        <sz val="10"/>
        <rFont val="Arial"/>
        <family val="2"/>
      </rPr>
      <t>d</t>
    </r>
    <r>
      <rPr>
        <b/>
        <sz val="10"/>
        <rFont val="Arial"/>
        <family val="2"/>
      </rPr>
      <t xml:space="preserve"> )</t>
    </r>
    <r>
      <rPr>
        <b/>
        <vertAlign val="superscript"/>
        <sz val="10"/>
        <rFont val="Arial"/>
        <family val="2"/>
      </rPr>
      <t>2</t>
    </r>
    <r>
      <rPr>
        <b/>
        <sz val="10"/>
        <rFont val="Arial"/>
        <family val="2"/>
      </rPr>
      <t xml:space="preserve"> </t>
    </r>
  </si>
  <si>
    <t>Análisis de Varianza</t>
  </si>
  <si>
    <t>Tabla Anova</t>
  </si>
  <si>
    <t>Fuente de Variación</t>
  </si>
  <si>
    <t>Suma de los Cuadrados SS</t>
  </si>
  <si>
    <t>Grados de Libertad               DF</t>
  </si>
  <si>
    <t>Media de los cuadrados (varianza)  MS</t>
  </si>
  <si>
    <t>Between - run ( entre corridas, Intralaboratorio)</t>
  </si>
  <si>
    <t>DF1</t>
  </si>
  <si>
    <t>MS1</t>
  </si>
  <si>
    <t>Within - run ( intra-corrida, repetibilidad)</t>
  </si>
  <si>
    <t>DF2</t>
  </si>
  <si>
    <t>MS2</t>
  </si>
  <si>
    <t>Total</t>
  </si>
  <si>
    <t>Between - run ( entre corridas, SS1, Intralaboratorio)</t>
  </si>
  <si>
    <t>Intralaboratorio</t>
  </si>
  <si>
    <t>Within -     run ( en la corrida, SS2, repetibilidad)</t>
  </si>
  <si>
    <t>Repetibilidad</t>
  </si>
  <si>
    <r>
      <t>S</t>
    </r>
    <r>
      <rPr>
        <vertAlign val="subscript"/>
        <sz val="14"/>
        <rFont val="Arial"/>
        <family val="2"/>
      </rPr>
      <t>WL</t>
    </r>
    <r>
      <rPr>
        <sz val="14"/>
        <rFont val="Arial"/>
        <family val="2"/>
      </rPr>
      <t xml:space="preserve"> =       √ V</t>
    </r>
    <r>
      <rPr>
        <vertAlign val="subscript"/>
        <sz val="14"/>
        <rFont val="Arial"/>
        <family val="2"/>
      </rPr>
      <t>W</t>
    </r>
    <r>
      <rPr>
        <sz val="14"/>
        <rFont val="Arial"/>
        <family val="2"/>
      </rPr>
      <t xml:space="preserve"> + V</t>
    </r>
    <r>
      <rPr>
        <vertAlign val="subscript"/>
        <sz val="14"/>
        <rFont val="Arial"/>
        <family val="2"/>
      </rPr>
      <t>B</t>
    </r>
  </si>
  <si>
    <r>
      <t>Si MS1  es menor o igual a MS2, entonces V</t>
    </r>
    <r>
      <rPr>
        <vertAlign val="subscript"/>
        <sz val="12"/>
        <rFont val="Arial"/>
        <family val="2"/>
      </rPr>
      <t>B</t>
    </r>
    <r>
      <rPr>
        <sz val="12"/>
        <rFont val="Arial"/>
        <family val="2"/>
      </rPr>
      <t xml:space="preserve"> = 0, sino, calcular:</t>
    </r>
  </si>
  <si>
    <t>Representa el número promedio de resultados por corrida.</t>
  </si>
  <si>
    <t>Nivel de Decisión Médica del material a utilizar</t>
  </si>
  <si>
    <t>Desempeño Declaración Proveedor</t>
  </si>
  <si>
    <t>Repetibilidad Precisión Intraensayo %</t>
  </si>
  <si>
    <t xml:space="preserve"> Precisión Intralaboratorio %</t>
  </si>
  <si>
    <r>
      <t>ET/4 para S</t>
    </r>
    <r>
      <rPr>
        <vertAlign val="subscript"/>
        <sz val="10"/>
        <rFont val="Arial"/>
        <family val="2"/>
      </rPr>
      <t>R</t>
    </r>
  </si>
  <si>
    <r>
      <t>ET/3 para S</t>
    </r>
    <r>
      <rPr>
        <vertAlign val="subscript"/>
        <sz val="10"/>
        <rFont val="Arial"/>
        <family val="2"/>
      </rPr>
      <t>WL</t>
    </r>
  </si>
  <si>
    <r>
      <t>S</t>
    </r>
    <r>
      <rPr>
        <vertAlign val="subscript"/>
        <sz val="10"/>
        <rFont val="Arial"/>
        <family val="2"/>
      </rPr>
      <t>R</t>
    </r>
    <r>
      <rPr>
        <sz val="10"/>
        <rFont val="Arial"/>
        <family val="2"/>
      </rPr>
      <t xml:space="preserve"> / CV</t>
    </r>
    <r>
      <rPr>
        <vertAlign val="subscript"/>
        <sz val="10"/>
        <rFont val="Arial"/>
        <family val="2"/>
      </rPr>
      <t>R</t>
    </r>
    <r>
      <rPr>
        <sz val="10"/>
        <rFont val="Arial"/>
        <family val="2"/>
      </rPr>
      <t xml:space="preserve">       (Repetibilidad)</t>
    </r>
  </si>
  <si>
    <r>
      <t>S</t>
    </r>
    <r>
      <rPr>
        <vertAlign val="subscript"/>
        <sz val="10"/>
        <rFont val="Arial"/>
        <family val="2"/>
      </rPr>
      <t>WL</t>
    </r>
    <r>
      <rPr>
        <sz val="10"/>
        <rFont val="Arial"/>
        <family val="2"/>
      </rPr>
      <t>/ CV</t>
    </r>
    <r>
      <rPr>
        <vertAlign val="subscript"/>
        <sz val="10"/>
        <rFont val="Arial"/>
        <family val="2"/>
      </rPr>
      <t>WL</t>
    </r>
    <r>
      <rPr>
        <sz val="10"/>
        <rFont val="Arial"/>
        <family val="2"/>
      </rPr>
      <t xml:space="preserve">  (Intralaboratorio)</t>
    </r>
  </si>
  <si>
    <r>
      <rPr>
        <sz val="10"/>
        <rFont val="Arial"/>
        <family val="2"/>
      </rPr>
      <t xml:space="preserve"> </t>
    </r>
    <r>
      <rPr>
        <sz val="16"/>
        <rFont val="Arial"/>
        <family val="2"/>
      </rPr>
      <t>σ</t>
    </r>
    <r>
      <rPr>
        <vertAlign val="subscript"/>
        <sz val="16"/>
        <rFont val="Arial"/>
        <family val="2"/>
      </rPr>
      <t>R</t>
    </r>
    <r>
      <rPr>
        <sz val="10"/>
        <rFont val="Arial"/>
        <family val="2"/>
      </rPr>
      <t xml:space="preserve">    (Repetibilidad)</t>
    </r>
  </si>
  <si>
    <r>
      <rPr>
        <sz val="18"/>
        <rFont val="Arial"/>
        <family val="2"/>
      </rPr>
      <t>σ</t>
    </r>
    <r>
      <rPr>
        <vertAlign val="subscript"/>
        <sz val="10"/>
        <rFont val="Arial"/>
        <family val="2"/>
      </rPr>
      <t>WL</t>
    </r>
    <r>
      <rPr>
        <sz val="10"/>
        <rFont val="Arial"/>
        <family val="2"/>
      </rPr>
      <t xml:space="preserve">  (Intralaboratorio)</t>
    </r>
  </si>
  <si>
    <r>
      <t>Compare % CV</t>
    </r>
    <r>
      <rPr>
        <vertAlign val="subscript"/>
        <sz val="12"/>
        <rFont val="Calibri"/>
        <family val="2"/>
        <scheme val="minor"/>
      </rPr>
      <t>R</t>
    </r>
    <r>
      <rPr>
        <sz val="12"/>
        <rFont val="Calibri"/>
        <family val="2"/>
        <scheme val="minor"/>
      </rPr>
      <t xml:space="preserve"> calculado con el definido por el fabricante % CV</t>
    </r>
    <r>
      <rPr>
        <vertAlign val="subscript"/>
        <sz val="12"/>
        <rFont val="Calibri"/>
        <family val="2"/>
        <scheme val="minor"/>
      </rPr>
      <t>R</t>
    </r>
  </si>
  <si>
    <t>Tabla 7: Factor UVL, como una función de los grados de libertad y número de material empleado para el experimento de verificación</t>
  </si>
  <si>
    <t xml:space="preserve">   ° Grados de Libertad</t>
  </si>
  <si>
    <t xml:space="preserve">1 nivel </t>
  </si>
  <si>
    <t>2 niveles</t>
  </si>
  <si>
    <t>3 niveles</t>
  </si>
  <si>
    <t>4 niveles</t>
  </si>
  <si>
    <t>5 niveles</t>
  </si>
  <si>
    <t>6 niveles</t>
  </si>
  <si>
    <r>
      <t>% CV</t>
    </r>
    <r>
      <rPr>
        <vertAlign val="subscript"/>
        <sz val="12"/>
        <color theme="0"/>
        <rFont val="Calibri"/>
        <family val="2"/>
        <scheme val="minor"/>
      </rPr>
      <t>R</t>
    </r>
    <r>
      <rPr>
        <sz val="12"/>
        <color theme="0"/>
        <rFont val="Calibri"/>
        <family val="2"/>
        <scheme val="minor"/>
      </rPr>
      <t xml:space="preserve"> Definido por el Fabricante</t>
    </r>
  </si>
  <si>
    <r>
      <t>% CV</t>
    </r>
    <r>
      <rPr>
        <vertAlign val="subscript"/>
        <sz val="12"/>
        <color theme="0"/>
        <rFont val="Calibri"/>
        <family val="2"/>
        <scheme val="minor"/>
      </rPr>
      <t>R</t>
    </r>
    <r>
      <rPr>
        <sz val="12"/>
        <color theme="0"/>
        <rFont val="Calibri"/>
        <family val="2"/>
        <scheme val="minor"/>
      </rPr>
      <t xml:space="preserve"> Obtenido en condiciones de Repetibilidad</t>
    </r>
  </si>
  <si>
    <r>
      <t>Para obtener el factor UVL, primero determine los grados de Libertad del experimento: df</t>
    </r>
    <r>
      <rPr>
        <vertAlign val="subscript"/>
        <sz val="12"/>
        <rFont val="Arial"/>
        <family val="2"/>
      </rPr>
      <t>R</t>
    </r>
  </si>
  <si>
    <t>Para una comparación de repetibilidad, calcule los grados de libertad de acuerdo a :</t>
  </si>
  <si>
    <t>k: número de corridas:</t>
  </si>
  <si>
    <r>
      <t>Grados de libertad, df</t>
    </r>
    <r>
      <rPr>
        <vertAlign val="subscript"/>
        <sz val="12"/>
        <color theme="0"/>
        <rFont val="Calibri"/>
        <family val="2"/>
        <scheme val="minor"/>
      </rPr>
      <t xml:space="preserve">R                  </t>
    </r>
    <r>
      <rPr>
        <sz val="12"/>
        <color theme="0"/>
        <rFont val="Calibri"/>
        <family val="2"/>
        <scheme val="minor"/>
      </rPr>
      <t xml:space="preserve"> (ver en tabla 7)</t>
    </r>
  </si>
  <si>
    <t>Factor UVL para tres niveles de muestras probadas (desde tabla 7)</t>
  </si>
  <si>
    <t>Factor UVL para dos niveles de muestras probadas (desde tabla 7)</t>
  </si>
  <si>
    <t>Para tres niveles de muestras probadas</t>
  </si>
  <si>
    <t>Para dos niveles de muestras probadas</t>
  </si>
  <si>
    <t>Para un (1) nivel de muestra probada</t>
  </si>
  <si>
    <r>
      <t>Compare la imprecisión % CV</t>
    </r>
    <r>
      <rPr>
        <b/>
        <vertAlign val="subscript"/>
        <sz val="12"/>
        <rFont val="Arial"/>
        <family val="2"/>
      </rPr>
      <t>R</t>
    </r>
    <r>
      <rPr>
        <b/>
        <sz val="12"/>
        <rFont val="Arial"/>
        <family val="2"/>
      </rPr>
      <t xml:space="preserve"> obtenida con el valor del % CV</t>
    </r>
    <r>
      <rPr>
        <b/>
        <vertAlign val="subscript"/>
        <sz val="12"/>
        <rFont val="Arial"/>
        <family val="2"/>
      </rPr>
      <t>R</t>
    </r>
    <r>
      <rPr>
        <b/>
        <sz val="12"/>
        <rFont val="Arial"/>
        <family val="2"/>
      </rPr>
      <t xml:space="preserve"> declarado, modificado por el factor UVL, de acuerdo al número de  niveles probados durante el experimento de repetibilidad</t>
    </r>
  </si>
  <si>
    <r>
      <t>% CV</t>
    </r>
    <r>
      <rPr>
        <vertAlign val="subscript"/>
        <sz val="12"/>
        <color theme="0"/>
        <rFont val="Calibri"/>
        <family val="2"/>
        <scheme val="minor"/>
      </rPr>
      <t xml:space="preserve">R </t>
    </r>
    <r>
      <rPr>
        <sz val="12"/>
        <color theme="0"/>
        <rFont val="Calibri"/>
        <family val="2"/>
        <scheme val="minor"/>
      </rPr>
      <t>Definido por el Fabricante, modificado por factor UVL</t>
    </r>
  </si>
  <si>
    <r>
      <t>% CV</t>
    </r>
    <r>
      <rPr>
        <vertAlign val="subscript"/>
        <sz val="12"/>
        <color theme="0"/>
        <rFont val="Calibri"/>
        <family val="2"/>
        <scheme val="minor"/>
      </rPr>
      <t xml:space="preserve">R </t>
    </r>
    <r>
      <rPr>
        <sz val="12"/>
        <color theme="0"/>
        <rFont val="Calibri"/>
        <family val="2"/>
        <scheme val="minor"/>
      </rPr>
      <t>Obtenido en condiciones de Repetibilidad</t>
    </r>
  </si>
  <si>
    <r>
      <t>Resultados Comparación de la Repetibilidad % CV</t>
    </r>
    <r>
      <rPr>
        <vertAlign val="subscript"/>
        <sz val="12"/>
        <color theme="0"/>
        <rFont val="Calibri"/>
        <family val="2"/>
        <scheme val="minor"/>
      </rPr>
      <t>R,</t>
    </r>
    <r>
      <rPr>
        <sz val="12"/>
        <color theme="0"/>
        <rFont val="Calibri"/>
        <family val="2"/>
        <scheme val="minor"/>
      </rPr>
      <t xml:space="preserve">  utilizando Factor límite UVL</t>
    </r>
  </si>
  <si>
    <r>
      <t>Verificación de la Imprecisión Intralaboratorio Definida, CV% Fabricante S</t>
    </r>
    <r>
      <rPr>
        <vertAlign val="subscript"/>
        <sz val="16"/>
        <color theme="0"/>
        <rFont val="Arial"/>
        <family val="2"/>
      </rPr>
      <t>WL</t>
    </r>
    <r>
      <rPr>
        <sz val="16"/>
        <color theme="0"/>
        <rFont val="Arial"/>
        <family val="2"/>
      </rPr>
      <t xml:space="preserve"> / CV</t>
    </r>
    <r>
      <rPr>
        <vertAlign val="subscript"/>
        <sz val="16"/>
        <color theme="0"/>
        <rFont val="Arial"/>
        <family val="2"/>
      </rPr>
      <t>WL</t>
    </r>
    <r>
      <rPr>
        <sz val="16"/>
        <color theme="0"/>
        <rFont val="Arial"/>
        <family val="2"/>
      </rPr>
      <t xml:space="preserve"> (Intralaboratorio)</t>
    </r>
  </si>
  <si>
    <r>
      <t>Tabla 6: df</t>
    </r>
    <r>
      <rPr>
        <vertAlign val="subscript"/>
        <sz val="12"/>
        <rFont val="Calibri"/>
        <family val="2"/>
        <scheme val="minor"/>
      </rPr>
      <t>wl</t>
    </r>
    <r>
      <rPr>
        <sz val="12"/>
        <rFont val="Calibri"/>
        <family val="2"/>
        <scheme val="minor"/>
      </rPr>
      <t>, como una función de la razón declarada para (p=0</t>
    </r>
    <r>
      <rPr>
        <vertAlign val="subscript"/>
        <sz val="12"/>
        <rFont val="Calibri"/>
        <family val="2"/>
        <scheme val="minor"/>
      </rPr>
      <t>wl</t>
    </r>
    <r>
      <rPr>
        <sz val="12"/>
        <rFont val="Calibri"/>
        <family val="2"/>
        <scheme val="minor"/>
      </rPr>
      <t xml:space="preserve"> / O</t>
    </r>
    <r>
      <rPr>
        <vertAlign val="subscript"/>
        <sz val="12"/>
        <rFont val="Calibri"/>
        <family val="2"/>
        <scheme val="minor"/>
      </rPr>
      <t>R</t>
    </r>
    <r>
      <rPr>
        <sz val="12"/>
        <rFont val="Calibri"/>
        <family val="2"/>
        <scheme val="minor"/>
      </rPr>
      <t>), para 5 a 7 corridas, cinco replicados por corrida</t>
    </r>
  </si>
  <si>
    <t>5 corridas</t>
  </si>
  <si>
    <t>6 corridas</t>
  </si>
  <si>
    <t>7 corridas</t>
  </si>
  <si>
    <t>p</t>
  </si>
  <si>
    <r>
      <t>1- Si CV</t>
    </r>
    <r>
      <rPr>
        <vertAlign val="subscript"/>
        <sz val="12"/>
        <color theme="0"/>
        <rFont val="Calibri"/>
        <family val="2"/>
        <scheme val="minor"/>
      </rPr>
      <t>WL</t>
    </r>
    <r>
      <rPr>
        <sz val="12"/>
        <color theme="0"/>
        <rFont val="Calibri"/>
        <family val="2"/>
        <scheme val="minor"/>
      </rPr>
      <t xml:space="preserve"> calculado &lt;  CV</t>
    </r>
    <r>
      <rPr>
        <vertAlign val="subscript"/>
        <sz val="12"/>
        <color theme="0"/>
        <rFont val="Calibri"/>
        <family val="2"/>
        <scheme val="minor"/>
      </rPr>
      <t>WL</t>
    </r>
    <r>
      <rPr>
        <sz val="12"/>
        <color theme="0"/>
        <rFont val="Calibri"/>
        <family val="2"/>
        <scheme val="minor"/>
      </rPr>
      <t xml:space="preserve"> definido, el usuario ha demostrado precisión consistente ( precisión intralaboratorio), con las indicaciones del fabricante.</t>
    </r>
  </si>
  <si>
    <r>
      <t>2- Si CV</t>
    </r>
    <r>
      <rPr>
        <vertAlign val="subscript"/>
        <sz val="12"/>
        <color theme="0"/>
        <rFont val="Calibri"/>
        <family val="2"/>
        <scheme val="minor"/>
      </rPr>
      <t>WL</t>
    </r>
    <r>
      <rPr>
        <sz val="12"/>
        <color theme="0"/>
        <rFont val="Calibri"/>
        <family val="2"/>
        <scheme val="minor"/>
      </rPr>
      <t xml:space="preserve"> calculado &gt;  CV</t>
    </r>
    <r>
      <rPr>
        <vertAlign val="subscript"/>
        <sz val="12"/>
        <color theme="0"/>
        <rFont val="Calibri"/>
        <family val="2"/>
        <scheme val="minor"/>
      </rPr>
      <t>WL</t>
    </r>
    <r>
      <rPr>
        <sz val="12"/>
        <color theme="0"/>
        <rFont val="Calibri"/>
        <family val="2"/>
        <scheme val="minor"/>
      </rPr>
      <t xml:space="preserve"> definido , nótese que la imprecisión intralaboratorio puede ser mayor que la definida por el fabricante y no ser tan diferente estadísticamente de la definida. La impresición observada, puede llegar a ser mayor que la declarada en un 50 % de las veces, debido sólo a la casualidad (chance alone). Para limitar este defecto, se debe calcular un UVL para la imprecisión declarada en condiciones de precisión intralaboratorio (precisión intermedia).</t>
    </r>
  </si>
  <si>
    <r>
      <t>Para obtener el factor UVL, primero determine los grados de Libertad del experimento: df</t>
    </r>
    <r>
      <rPr>
        <vertAlign val="subscript"/>
        <sz val="12"/>
        <rFont val="Arial"/>
        <family val="2"/>
      </rPr>
      <t>WL</t>
    </r>
  </si>
  <si>
    <t>Determine la razón "p", en función de la declaración del fabricante para la precisión en condiciones de repetibilidad e intralaboratorio</t>
  </si>
  <si>
    <r>
      <t xml:space="preserve"> CV% Fabricante     S</t>
    </r>
    <r>
      <rPr>
        <vertAlign val="subscript"/>
        <sz val="12"/>
        <color theme="0"/>
        <rFont val="Calibri"/>
        <family val="2"/>
        <scheme val="minor"/>
      </rPr>
      <t>R</t>
    </r>
    <r>
      <rPr>
        <sz val="12"/>
        <color theme="0"/>
        <rFont val="Calibri"/>
        <family val="2"/>
        <scheme val="minor"/>
      </rPr>
      <t xml:space="preserve">   /  CV</t>
    </r>
    <r>
      <rPr>
        <vertAlign val="subscript"/>
        <sz val="12"/>
        <color theme="0"/>
        <rFont val="Calibri"/>
        <family val="2"/>
        <scheme val="minor"/>
      </rPr>
      <t xml:space="preserve">R      </t>
    </r>
    <r>
      <rPr>
        <sz val="12"/>
        <color theme="0"/>
        <rFont val="Calibri"/>
        <family val="2"/>
        <scheme val="minor"/>
      </rPr>
      <t xml:space="preserve"> (Repetibilidad)</t>
    </r>
  </si>
  <si>
    <r>
      <t xml:space="preserve"> CV% Fabricante     S</t>
    </r>
    <r>
      <rPr>
        <vertAlign val="subscript"/>
        <sz val="12"/>
        <color theme="0"/>
        <rFont val="Calibri"/>
        <family val="2"/>
        <scheme val="minor"/>
      </rPr>
      <t>WL</t>
    </r>
    <r>
      <rPr>
        <sz val="12"/>
        <color theme="0"/>
        <rFont val="Calibri"/>
        <family val="2"/>
        <scheme val="minor"/>
      </rPr>
      <t xml:space="preserve">  /  CV</t>
    </r>
    <r>
      <rPr>
        <vertAlign val="subscript"/>
        <sz val="12"/>
        <color theme="0"/>
        <rFont val="Calibri"/>
        <family val="2"/>
        <scheme val="minor"/>
      </rPr>
      <t>WL</t>
    </r>
    <r>
      <rPr>
        <sz val="12"/>
        <color theme="0"/>
        <rFont val="Calibri"/>
        <family val="2"/>
        <scheme val="minor"/>
      </rPr>
      <t xml:space="preserve">  (Intralaboratorio)</t>
    </r>
  </si>
  <si>
    <r>
      <t>"Razón p" : % CV</t>
    </r>
    <r>
      <rPr>
        <vertAlign val="subscript"/>
        <sz val="12"/>
        <color theme="0"/>
        <rFont val="Calibri"/>
        <family val="2"/>
        <scheme val="minor"/>
      </rPr>
      <t>WL</t>
    </r>
    <r>
      <rPr>
        <sz val="12"/>
        <color theme="0"/>
        <rFont val="Calibri"/>
        <family val="2"/>
        <scheme val="minor"/>
      </rPr>
      <t xml:space="preserve"> / % C</t>
    </r>
    <r>
      <rPr>
        <vertAlign val="subscript"/>
        <sz val="12"/>
        <color theme="0"/>
        <rFont val="Calibri"/>
        <family val="2"/>
        <scheme val="minor"/>
      </rPr>
      <t xml:space="preserve">VR             </t>
    </r>
  </si>
  <si>
    <r>
      <t>Grados de libertad, df</t>
    </r>
    <r>
      <rPr>
        <vertAlign val="subscript"/>
        <sz val="12"/>
        <color theme="0"/>
        <rFont val="Calibri"/>
        <family val="2"/>
        <scheme val="minor"/>
      </rPr>
      <t xml:space="preserve">WL           </t>
    </r>
    <r>
      <rPr>
        <sz val="12"/>
        <color theme="0"/>
        <rFont val="Calibri"/>
        <family val="2"/>
        <scheme val="minor"/>
      </rPr>
      <t>(ver df</t>
    </r>
    <r>
      <rPr>
        <vertAlign val="subscript"/>
        <sz val="12"/>
        <color theme="0"/>
        <rFont val="Calibri"/>
        <family val="2"/>
        <scheme val="minor"/>
      </rPr>
      <t>WL</t>
    </r>
    <r>
      <rPr>
        <sz val="12"/>
        <color theme="0"/>
        <rFont val="Calibri"/>
        <family val="2"/>
        <scheme val="minor"/>
      </rPr>
      <t xml:space="preserve"> en tabla 6, para valor "p" obtenido)</t>
    </r>
  </si>
  <si>
    <t>Factor UVL para un (1) nivel de muestra probada    (desde tabla 7)</t>
  </si>
  <si>
    <r>
      <t xml:space="preserve"> CV% Fabricante     S</t>
    </r>
    <r>
      <rPr>
        <vertAlign val="subscript"/>
        <sz val="12"/>
        <rFont val="Calibri"/>
        <family val="2"/>
        <scheme val="minor"/>
      </rPr>
      <t>WL</t>
    </r>
    <r>
      <rPr>
        <sz val="12"/>
        <rFont val="Calibri"/>
        <family val="2"/>
        <scheme val="minor"/>
      </rPr>
      <t xml:space="preserve">   /  CV</t>
    </r>
    <r>
      <rPr>
        <vertAlign val="subscript"/>
        <sz val="12"/>
        <rFont val="Calibri"/>
        <family val="2"/>
        <scheme val="minor"/>
      </rPr>
      <t xml:space="preserve">WL      </t>
    </r>
    <r>
      <rPr>
        <sz val="12"/>
        <rFont val="Calibri"/>
        <family val="2"/>
        <scheme val="minor"/>
      </rPr>
      <t xml:space="preserve"> (Intralaboratorio)</t>
    </r>
  </si>
  <si>
    <r>
      <t>Compare la imprecisión % CV</t>
    </r>
    <r>
      <rPr>
        <b/>
        <vertAlign val="subscript"/>
        <sz val="12"/>
        <rFont val="Arial"/>
        <family val="2"/>
      </rPr>
      <t>WL</t>
    </r>
    <r>
      <rPr>
        <b/>
        <sz val="12"/>
        <rFont val="Arial"/>
        <family val="2"/>
      </rPr>
      <t xml:space="preserve"> obtenida con el valor del % CV</t>
    </r>
    <r>
      <rPr>
        <b/>
        <vertAlign val="subscript"/>
        <sz val="12"/>
        <rFont val="Arial"/>
        <family val="2"/>
      </rPr>
      <t>WL</t>
    </r>
    <r>
      <rPr>
        <b/>
        <sz val="12"/>
        <rFont val="Arial"/>
        <family val="2"/>
      </rPr>
      <t xml:space="preserve"> declarado, modificado por el factor UVL, de acuerdo al número de  niveles probados durante el experimento de estudio de precisión</t>
    </r>
  </si>
  <si>
    <r>
      <t xml:space="preserve"> % CV</t>
    </r>
    <r>
      <rPr>
        <vertAlign val="subscript"/>
        <sz val="12"/>
        <color theme="0"/>
        <rFont val="Calibri"/>
        <family val="2"/>
        <scheme val="minor"/>
      </rPr>
      <t>WL</t>
    </r>
    <r>
      <rPr>
        <sz val="12"/>
        <color theme="0"/>
        <rFont val="Calibri"/>
        <family val="2"/>
        <scheme val="minor"/>
      </rPr>
      <t xml:space="preserve"> Definido por el Fabricante, modificado por factor UVL</t>
    </r>
  </si>
  <si>
    <r>
      <t xml:space="preserve"> % CV</t>
    </r>
    <r>
      <rPr>
        <vertAlign val="subscript"/>
        <sz val="12"/>
        <color theme="0"/>
        <rFont val="Calibri"/>
        <family val="2"/>
        <scheme val="minor"/>
      </rPr>
      <t>WL</t>
    </r>
    <r>
      <rPr>
        <sz val="12"/>
        <color theme="0"/>
        <rFont val="Calibri"/>
        <family val="2"/>
        <scheme val="minor"/>
      </rPr>
      <t xml:space="preserve"> Obtenido en condiciones de precisión intralaboratorio</t>
    </r>
  </si>
  <si>
    <r>
      <t>Resultados Comparación de la Precisión Intralaboratorio %CV</t>
    </r>
    <r>
      <rPr>
        <vertAlign val="subscript"/>
        <sz val="12"/>
        <color theme="0"/>
        <rFont val="Calibri"/>
        <family val="2"/>
        <scheme val="minor"/>
      </rPr>
      <t>WL</t>
    </r>
    <r>
      <rPr>
        <sz val="12"/>
        <color theme="0"/>
        <rFont val="Calibri"/>
        <family val="2"/>
        <scheme val="minor"/>
      </rPr>
      <t xml:space="preserve">                                    utilizando Factor UVL</t>
    </r>
  </si>
  <si>
    <r>
      <t xml:space="preserve">                                                         ∑ (x</t>
    </r>
    <r>
      <rPr>
        <b/>
        <vertAlign val="subscript"/>
        <sz val="12"/>
        <rFont val="Arial"/>
        <family val="2"/>
      </rPr>
      <t>i</t>
    </r>
    <r>
      <rPr>
        <b/>
        <sz val="12"/>
        <rFont val="Arial"/>
        <family val="2"/>
      </rPr>
      <t xml:space="preserve"> - x</t>
    </r>
    <r>
      <rPr>
        <b/>
        <vertAlign val="subscript"/>
        <sz val="12"/>
        <rFont val="Arial"/>
        <family val="2"/>
      </rPr>
      <t>d</t>
    </r>
    <r>
      <rPr>
        <b/>
        <sz val="12"/>
        <rFont val="Arial"/>
        <family val="2"/>
      </rPr>
      <t xml:space="preserve"> )</t>
    </r>
    <r>
      <rPr>
        <b/>
        <vertAlign val="superscript"/>
        <sz val="12"/>
        <rFont val="Arial"/>
        <family val="2"/>
      </rPr>
      <t>2</t>
    </r>
    <r>
      <rPr>
        <b/>
        <sz val="12"/>
        <rFont val="Arial"/>
        <family val="2"/>
      </rPr>
      <t xml:space="preserve"> </t>
    </r>
  </si>
  <si>
    <r>
      <t xml:space="preserve">                                       S</t>
    </r>
    <r>
      <rPr>
        <b/>
        <vertAlign val="subscript"/>
        <sz val="12"/>
        <rFont val="Arial"/>
        <family val="2"/>
      </rPr>
      <t>R</t>
    </r>
    <r>
      <rPr>
        <b/>
        <vertAlign val="superscript"/>
        <sz val="12"/>
        <rFont val="Arial"/>
        <family val="2"/>
      </rPr>
      <t>2</t>
    </r>
    <r>
      <rPr>
        <b/>
        <vertAlign val="subscript"/>
        <sz val="12"/>
        <rFont val="Arial"/>
        <family val="2"/>
      </rPr>
      <t>run</t>
    </r>
    <r>
      <rPr>
        <b/>
        <sz val="12"/>
        <rFont val="Arial"/>
        <family val="2"/>
      </rPr>
      <t>=     i=1</t>
    </r>
  </si>
  <si>
    <t>(x1 - xd )</t>
  </si>
  <si>
    <t>(x1 - xd )2</t>
  </si>
  <si>
    <t>(x2 - xd )</t>
  </si>
  <si>
    <t>(x2 - xd )2</t>
  </si>
  <si>
    <t>(x3 - xd )</t>
  </si>
  <si>
    <t>(x3 - xd )2</t>
  </si>
  <si>
    <t>(x4 - xd )</t>
  </si>
  <si>
    <t>(x4 - xd )2</t>
  </si>
  <si>
    <t>(x5 - xd )</t>
  </si>
  <si>
    <t>(x5 - xd )2</t>
  </si>
  <si>
    <r>
      <t>DF</t>
    </r>
    <r>
      <rPr>
        <vertAlign val="subscript"/>
        <sz val="12"/>
        <rFont val="Calibri"/>
        <family val="2"/>
        <scheme val="minor"/>
      </rPr>
      <t>TOTAL</t>
    </r>
  </si>
  <si>
    <t>Grados de Libertad     DF (n-1)</t>
  </si>
  <si>
    <t>Varianzas en condiciones de precisión:</t>
  </si>
  <si>
    <r>
      <t xml:space="preserve">                                        x</t>
    </r>
    <r>
      <rPr>
        <vertAlign val="subscript"/>
        <sz val="12"/>
        <rFont val="Arial"/>
        <family val="2"/>
      </rPr>
      <t>d</t>
    </r>
    <r>
      <rPr>
        <sz val="12"/>
        <rFont val="Arial"/>
        <family val="2"/>
      </rPr>
      <t xml:space="preserve"> =        i=1</t>
    </r>
  </si>
  <si>
    <r>
      <t xml:space="preserve">                                                     </t>
    </r>
    <r>
      <rPr>
        <vertAlign val="subscript"/>
        <sz val="12"/>
        <rFont val="Arial"/>
        <family val="2"/>
      </rPr>
      <t xml:space="preserve"> </t>
    </r>
    <r>
      <rPr>
        <sz val="12"/>
        <rFont val="Arial"/>
        <family val="2"/>
      </rPr>
      <t>∑ x</t>
    </r>
    <r>
      <rPr>
        <vertAlign val="subscript"/>
        <sz val="12"/>
        <rFont val="Arial"/>
        <family val="2"/>
      </rPr>
      <t>i</t>
    </r>
  </si>
  <si>
    <r>
      <t>(x</t>
    </r>
    <r>
      <rPr>
        <b/>
        <vertAlign val="subscript"/>
        <sz val="12"/>
        <rFont val="Arial"/>
        <family val="2"/>
      </rPr>
      <t>1</t>
    </r>
    <r>
      <rPr>
        <b/>
        <sz val="12"/>
        <rFont val="Arial"/>
        <family val="2"/>
      </rPr>
      <t xml:space="preserve"> - x</t>
    </r>
    <r>
      <rPr>
        <b/>
        <sz val="12"/>
        <rFont val="Arial"/>
        <family val="2"/>
      </rPr>
      <t xml:space="preserve"> )</t>
    </r>
  </si>
  <si>
    <r>
      <t>(x</t>
    </r>
    <r>
      <rPr>
        <b/>
        <vertAlign val="subscript"/>
        <sz val="12"/>
        <rFont val="Arial"/>
        <family val="2"/>
      </rPr>
      <t>1</t>
    </r>
    <r>
      <rPr>
        <b/>
        <sz val="12"/>
        <rFont val="Arial"/>
        <family val="2"/>
      </rPr>
      <t xml:space="preserve"> - x</t>
    </r>
    <r>
      <rPr>
        <b/>
        <sz val="12"/>
        <rFont val="Arial"/>
        <family val="2"/>
      </rPr>
      <t xml:space="preserve"> )</t>
    </r>
    <r>
      <rPr>
        <b/>
        <vertAlign val="superscript"/>
        <sz val="12"/>
        <rFont val="Arial"/>
        <family val="2"/>
      </rPr>
      <t>2</t>
    </r>
  </si>
  <si>
    <r>
      <t>(x</t>
    </r>
    <r>
      <rPr>
        <b/>
        <vertAlign val="subscript"/>
        <sz val="12"/>
        <rFont val="Arial"/>
        <family val="2"/>
      </rPr>
      <t>2</t>
    </r>
    <r>
      <rPr>
        <b/>
        <sz val="12"/>
        <rFont val="Arial"/>
        <family val="2"/>
      </rPr>
      <t xml:space="preserve"> - x</t>
    </r>
    <r>
      <rPr>
        <b/>
        <sz val="12"/>
        <rFont val="Arial"/>
        <family val="2"/>
      </rPr>
      <t xml:space="preserve"> )</t>
    </r>
  </si>
  <si>
    <r>
      <t>(x</t>
    </r>
    <r>
      <rPr>
        <b/>
        <vertAlign val="subscript"/>
        <sz val="12"/>
        <rFont val="Arial"/>
        <family val="2"/>
      </rPr>
      <t>2</t>
    </r>
    <r>
      <rPr>
        <b/>
        <sz val="12"/>
        <rFont val="Arial"/>
        <family val="2"/>
      </rPr>
      <t xml:space="preserve"> - x</t>
    </r>
    <r>
      <rPr>
        <b/>
        <sz val="12"/>
        <rFont val="Arial"/>
        <family val="2"/>
      </rPr>
      <t xml:space="preserve"> )</t>
    </r>
    <r>
      <rPr>
        <b/>
        <vertAlign val="superscript"/>
        <sz val="12"/>
        <rFont val="Arial"/>
        <family val="2"/>
      </rPr>
      <t>2</t>
    </r>
  </si>
  <si>
    <r>
      <t>(x</t>
    </r>
    <r>
      <rPr>
        <b/>
        <vertAlign val="subscript"/>
        <sz val="12"/>
        <rFont val="Arial"/>
        <family val="2"/>
      </rPr>
      <t>3</t>
    </r>
    <r>
      <rPr>
        <b/>
        <sz val="12"/>
        <rFont val="Arial"/>
        <family val="2"/>
      </rPr>
      <t xml:space="preserve"> - x</t>
    </r>
    <r>
      <rPr>
        <b/>
        <sz val="12"/>
        <rFont val="Arial"/>
        <family val="2"/>
      </rPr>
      <t xml:space="preserve"> )</t>
    </r>
  </si>
  <si>
    <r>
      <t>(x</t>
    </r>
    <r>
      <rPr>
        <b/>
        <vertAlign val="subscript"/>
        <sz val="12"/>
        <rFont val="Arial"/>
        <family val="2"/>
      </rPr>
      <t>3</t>
    </r>
    <r>
      <rPr>
        <b/>
        <sz val="12"/>
        <rFont val="Arial"/>
        <family val="2"/>
      </rPr>
      <t xml:space="preserve"> - x</t>
    </r>
    <r>
      <rPr>
        <b/>
        <sz val="12"/>
        <rFont val="Arial"/>
        <family val="2"/>
      </rPr>
      <t xml:space="preserve"> )</t>
    </r>
    <r>
      <rPr>
        <b/>
        <vertAlign val="superscript"/>
        <sz val="12"/>
        <rFont val="Arial"/>
        <family val="2"/>
      </rPr>
      <t>2</t>
    </r>
  </si>
  <si>
    <r>
      <t>(x</t>
    </r>
    <r>
      <rPr>
        <b/>
        <vertAlign val="subscript"/>
        <sz val="12"/>
        <rFont val="Arial"/>
        <family val="2"/>
      </rPr>
      <t>4</t>
    </r>
    <r>
      <rPr>
        <b/>
        <sz val="12"/>
        <rFont val="Arial"/>
        <family val="2"/>
      </rPr>
      <t xml:space="preserve"> - x</t>
    </r>
    <r>
      <rPr>
        <b/>
        <sz val="12"/>
        <rFont val="Arial"/>
        <family val="2"/>
      </rPr>
      <t xml:space="preserve"> )</t>
    </r>
  </si>
  <si>
    <r>
      <t>(x</t>
    </r>
    <r>
      <rPr>
        <b/>
        <vertAlign val="subscript"/>
        <sz val="12"/>
        <rFont val="Arial"/>
        <family val="2"/>
      </rPr>
      <t>4</t>
    </r>
    <r>
      <rPr>
        <b/>
        <sz val="12"/>
        <rFont val="Arial"/>
        <family val="2"/>
      </rPr>
      <t xml:space="preserve"> - x</t>
    </r>
    <r>
      <rPr>
        <b/>
        <sz val="12"/>
        <rFont val="Arial"/>
        <family val="2"/>
      </rPr>
      <t xml:space="preserve"> )</t>
    </r>
    <r>
      <rPr>
        <b/>
        <vertAlign val="superscript"/>
        <sz val="12"/>
        <rFont val="Arial"/>
        <family val="2"/>
      </rPr>
      <t>2</t>
    </r>
  </si>
  <si>
    <r>
      <t>(x</t>
    </r>
    <r>
      <rPr>
        <b/>
        <vertAlign val="subscript"/>
        <sz val="12"/>
        <rFont val="Arial"/>
        <family val="2"/>
      </rPr>
      <t>5</t>
    </r>
    <r>
      <rPr>
        <b/>
        <sz val="12"/>
        <rFont val="Arial"/>
        <family val="2"/>
      </rPr>
      <t xml:space="preserve"> - x</t>
    </r>
    <r>
      <rPr>
        <b/>
        <sz val="12"/>
        <rFont val="Arial"/>
        <family val="2"/>
      </rPr>
      <t xml:space="preserve"> )</t>
    </r>
  </si>
  <si>
    <r>
      <t>(x</t>
    </r>
    <r>
      <rPr>
        <b/>
        <vertAlign val="subscript"/>
        <sz val="12"/>
        <rFont val="Arial"/>
        <family val="2"/>
      </rPr>
      <t>5</t>
    </r>
    <r>
      <rPr>
        <b/>
        <sz val="12"/>
        <rFont val="Arial"/>
        <family val="2"/>
      </rPr>
      <t xml:space="preserve"> - x</t>
    </r>
    <r>
      <rPr>
        <b/>
        <sz val="12"/>
        <rFont val="Arial"/>
        <family val="2"/>
      </rPr>
      <t xml:space="preserve"> )</t>
    </r>
    <r>
      <rPr>
        <b/>
        <vertAlign val="superscript"/>
        <sz val="12"/>
        <rFont val="Arial"/>
        <family val="2"/>
      </rPr>
      <t>2</t>
    </r>
  </si>
  <si>
    <t>Media total de la distribución (gran media), x  =</t>
  </si>
  <si>
    <r>
      <t xml:space="preserve">                     X           =        </t>
    </r>
    <r>
      <rPr>
        <vertAlign val="subscript"/>
        <sz val="12"/>
        <rFont val="Arial"/>
        <family val="2"/>
      </rPr>
      <t xml:space="preserve"> </t>
    </r>
    <r>
      <rPr>
        <sz val="12"/>
        <rFont val="Arial"/>
        <family val="2"/>
      </rPr>
      <t>∑ x</t>
    </r>
    <r>
      <rPr>
        <vertAlign val="subscript"/>
        <sz val="12"/>
        <rFont val="Arial"/>
        <family val="2"/>
      </rPr>
      <t>i</t>
    </r>
  </si>
  <si>
    <t>i=1</t>
  </si>
  <si>
    <r>
      <t>S</t>
    </r>
    <r>
      <rPr>
        <vertAlign val="superscript"/>
        <sz val="16"/>
        <rFont val="Calibri"/>
        <family val="2"/>
        <scheme val="minor"/>
      </rPr>
      <t>2</t>
    </r>
    <r>
      <rPr>
        <vertAlign val="subscript"/>
        <sz val="16"/>
        <rFont val="Calibri"/>
        <family val="2"/>
        <scheme val="minor"/>
      </rPr>
      <t>T</t>
    </r>
    <r>
      <rPr>
        <sz val="16"/>
        <rFont val="Calibri"/>
        <family val="2"/>
        <scheme val="minor"/>
      </rPr>
      <t>=        ∑ (</t>
    </r>
    <r>
      <rPr>
        <sz val="14"/>
        <rFont val="Calibri"/>
        <family val="2"/>
        <scheme val="minor"/>
      </rPr>
      <t>x</t>
    </r>
    <r>
      <rPr>
        <vertAlign val="subscript"/>
        <sz val="16"/>
        <rFont val="Calibri"/>
        <family val="2"/>
        <scheme val="minor"/>
      </rPr>
      <t>i</t>
    </r>
    <r>
      <rPr>
        <b/>
        <vertAlign val="subscript"/>
        <sz val="12"/>
        <rFont val="Calibri"/>
        <family val="2"/>
        <scheme val="minor"/>
      </rPr>
      <t xml:space="preserve">  </t>
    </r>
    <r>
      <rPr>
        <b/>
        <sz val="12"/>
        <rFont val="Calibri"/>
        <family val="2"/>
        <scheme val="minor"/>
      </rPr>
      <t xml:space="preserve"> -   </t>
    </r>
    <r>
      <rPr>
        <b/>
        <sz val="16"/>
        <rFont val="Calibri"/>
        <family val="2"/>
        <scheme val="minor"/>
      </rPr>
      <t>x</t>
    </r>
    <r>
      <rPr>
        <b/>
        <sz val="12"/>
        <rFont val="Calibri"/>
        <family val="2"/>
        <scheme val="minor"/>
      </rPr>
      <t xml:space="preserve"> )</t>
    </r>
    <r>
      <rPr>
        <b/>
        <vertAlign val="superscript"/>
        <sz val="12"/>
        <rFont val="Calibri"/>
        <family val="2"/>
        <scheme val="minor"/>
      </rPr>
      <t>2</t>
    </r>
    <r>
      <rPr>
        <b/>
        <sz val="12"/>
        <rFont val="Calibri"/>
        <family val="2"/>
        <scheme val="minor"/>
      </rPr>
      <t xml:space="preserve"> </t>
    </r>
  </si>
  <si>
    <r>
      <t>∑ (x</t>
    </r>
    <r>
      <rPr>
        <b/>
        <vertAlign val="subscript"/>
        <sz val="10"/>
        <rFont val="Arial"/>
        <family val="2"/>
      </rPr>
      <t>i</t>
    </r>
    <r>
      <rPr>
        <b/>
        <sz val="10"/>
        <rFont val="Arial"/>
        <family val="2"/>
      </rPr>
      <t xml:space="preserve"> - x</t>
    </r>
    <r>
      <rPr>
        <b/>
        <sz val="10"/>
        <rFont val="Arial"/>
        <family val="2"/>
      </rPr>
      <t xml:space="preserve"> )</t>
    </r>
    <r>
      <rPr>
        <b/>
        <vertAlign val="superscript"/>
        <sz val="10"/>
        <rFont val="Arial"/>
        <family val="2"/>
      </rPr>
      <t>2</t>
    </r>
    <r>
      <rPr>
        <b/>
        <sz val="10"/>
        <rFont val="Arial"/>
        <family val="2"/>
      </rPr>
      <t xml:space="preserve"> = (x</t>
    </r>
    <r>
      <rPr>
        <b/>
        <vertAlign val="subscript"/>
        <sz val="10"/>
        <rFont val="Arial"/>
        <family val="2"/>
      </rPr>
      <t>1</t>
    </r>
    <r>
      <rPr>
        <b/>
        <sz val="10"/>
        <rFont val="Arial"/>
        <family val="2"/>
      </rPr>
      <t xml:space="preserve"> - x</t>
    </r>
    <r>
      <rPr>
        <b/>
        <sz val="10"/>
        <rFont val="Arial"/>
        <family val="2"/>
      </rPr>
      <t>)</t>
    </r>
    <r>
      <rPr>
        <b/>
        <vertAlign val="superscript"/>
        <sz val="10"/>
        <rFont val="Arial"/>
        <family val="2"/>
      </rPr>
      <t>2</t>
    </r>
    <r>
      <rPr>
        <b/>
        <sz val="10"/>
        <rFont val="Arial"/>
        <family val="2"/>
      </rPr>
      <t xml:space="preserve"> + (x</t>
    </r>
    <r>
      <rPr>
        <b/>
        <vertAlign val="subscript"/>
        <sz val="10"/>
        <rFont val="Arial"/>
        <family val="2"/>
      </rPr>
      <t>2</t>
    </r>
    <r>
      <rPr>
        <b/>
        <sz val="10"/>
        <rFont val="Arial"/>
        <family val="2"/>
      </rPr>
      <t xml:space="preserve"> - x</t>
    </r>
    <r>
      <rPr>
        <b/>
        <sz val="10"/>
        <rFont val="Arial"/>
        <family val="2"/>
      </rPr>
      <t>)</t>
    </r>
    <r>
      <rPr>
        <b/>
        <vertAlign val="superscript"/>
        <sz val="10"/>
        <rFont val="Arial"/>
        <family val="2"/>
      </rPr>
      <t>2</t>
    </r>
    <r>
      <rPr>
        <b/>
        <sz val="10"/>
        <rFont val="Arial"/>
        <family val="2"/>
      </rPr>
      <t xml:space="preserve"> + (x</t>
    </r>
    <r>
      <rPr>
        <b/>
        <vertAlign val="subscript"/>
        <sz val="10"/>
        <rFont val="Arial"/>
        <family val="2"/>
      </rPr>
      <t>3</t>
    </r>
    <r>
      <rPr>
        <b/>
        <sz val="10"/>
        <rFont val="Arial"/>
        <family val="2"/>
      </rPr>
      <t xml:space="preserve"> -x</t>
    </r>
    <r>
      <rPr>
        <b/>
        <sz val="10"/>
        <rFont val="Arial"/>
        <family val="2"/>
      </rPr>
      <t>)</t>
    </r>
    <r>
      <rPr>
        <b/>
        <vertAlign val="superscript"/>
        <sz val="10"/>
        <rFont val="Arial"/>
        <family val="2"/>
      </rPr>
      <t xml:space="preserve">2 + </t>
    </r>
    <r>
      <rPr>
        <b/>
        <sz val="10"/>
        <rFont val="Arial"/>
        <family val="2"/>
      </rPr>
      <t>(x</t>
    </r>
    <r>
      <rPr>
        <b/>
        <vertAlign val="subscript"/>
        <sz val="10"/>
        <rFont val="Arial"/>
        <family val="2"/>
      </rPr>
      <t>4</t>
    </r>
    <r>
      <rPr>
        <b/>
        <vertAlign val="superscript"/>
        <sz val="10"/>
        <rFont val="Arial"/>
        <family val="2"/>
      </rPr>
      <t xml:space="preserve"> - </t>
    </r>
    <r>
      <rPr>
        <b/>
        <sz val="10"/>
        <rFont val="Arial"/>
        <family val="2"/>
      </rPr>
      <t>x</t>
    </r>
    <r>
      <rPr>
        <b/>
        <sz val="10"/>
        <rFont val="Arial"/>
        <family val="2"/>
      </rPr>
      <t>)</t>
    </r>
    <r>
      <rPr>
        <b/>
        <vertAlign val="superscript"/>
        <sz val="10"/>
        <rFont val="Arial"/>
        <family val="2"/>
      </rPr>
      <t xml:space="preserve">2 + </t>
    </r>
    <r>
      <rPr>
        <b/>
        <sz val="10"/>
        <rFont val="Arial"/>
        <family val="2"/>
      </rPr>
      <t>(x</t>
    </r>
    <r>
      <rPr>
        <b/>
        <vertAlign val="subscript"/>
        <sz val="10"/>
        <rFont val="Arial"/>
        <family val="2"/>
      </rPr>
      <t>5</t>
    </r>
    <r>
      <rPr>
        <b/>
        <sz val="10"/>
        <rFont val="Arial"/>
        <family val="2"/>
      </rPr>
      <t xml:space="preserve"> - x</t>
    </r>
    <r>
      <rPr>
        <b/>
        <sz val="10"/>
        <rFont val="Arial"/>
        <family val="2"/>
      </rPr>
      <t>)</t>
    </r>
    <r>
      <rPr>
        <b/>
        <vertAlign val="superscript"/>
        <sz val="10"/>
        <rFont val="Arial"/>
        <family val="2"/>
      </rPr>
      <t>2</t>
    </r>
  </si>
  <si>
    <r>
      <t xml:space="preserve">                        </t>
    </r>
    <r>
      <rPr>
        <b/>
        <sz val="12"/>
        <rFont val="Calibri"/>
        <family val="2"/>
        <scheme val="minor"/>
      </rPr>
      <t xml:space="preserve">                   d=1  n - 1 (D)</t>
    </r>
  </si>
  <si>
    <t>Replicados</t>
  </si>
  <si>
    <t>Factor Grubbs promedio resultados por corrida en función del número total de resultados, N,                          para 5 a 7 corridas</t>
  </si>
  <si>
    <t>Outliers</t>
  </si>
  <si>
    <t>Resultados</t>
  </si>
  <si>
    <r>
      <rPr>
        <sz val="14"/>
        <rFont val="Calibri"/>
        <family val="2"/>
        <scheme val="minor"/>
      </rPr>
      <t>S</t>
    </r>
    <r>
      <rPr>
        <vertAlign val="subscript"/>
        <sz val="14"/>
        <rFont val="Arial"/>
        <family val="2"/>
      </rPr>
      <t>B     =</t>
    </r>
    <r>
      <rPr>
        <sz val="14"/>
        <rFont val="Arial"/>
        <family val="2"/>
      </rPr>
      <t xml:space="preserve">       √ V</t>
    </r>
    <r>
      <rPr>
        <vertAlign val="subscript"/>
        <sz val="14"/>
        <rFont val="Arial"/>
        <family val="2"/>
      </rPr>
      <t>B</t>
    </r>
  </si>
  <si>
    <r>
      <rPr>
        <sz val="14"/>
        <rFont val="Calibri"/>
        <family val="2"/>
        <scheme val="minor"/>
      </rPr>
      <t>S</t>
    </r>
    <r>
      <rPr>
        <vertAlign val="subscript"/>
        <sz val="14"/>
        <rFont val="Arial"/>
        <family val="2"/>
      </rPr>
      <t>R</t>
    </r>
    <r>
      <rPr>
        <sz val="14"/>
        <rFont val="Arial"/>
        <family val="2"/>
      </rPr>
      <t xml:space="preserve">   =       √ V</t>
    </r>
    <r>
      <rPr>
        <vertAlign val="subscript"/>
        <sz val="14"/>
        <rFont val="Arial"/>
        <family val="2"/>
      </rPr>
      <t xml:space="preserve">W                              </t>
    </r>
  </si>
  <si>
    <t>Verificación de la Repetibilidad Definida, % CV Fabricante     SR   /  CVR       (Repetibilidad)</t>
  </si>
  <si>
    <r>
      <t>Desvío estándar media de las series, S</t>
    </r>
    <r>
      <rPr>
        <vertAlign val="subscript"/>
        <sz val="14"/>
        <rFont val="Arial"/>
        <family val="2"/>
      </rPr>
      <t>T</t>
    </r>
  </si>
  <si>
    <r>
      <rPr>
        <sz val="14"/>
        <color theme="0"/>
        <rFont val="Calibri"/>
        <family val="2"/>
        <scheme val="minor"/>
      </rPr>
      <t>n</t>
    </r>
    <r>
      <rPr>
        <vertAlign val="subscript"/>
        <sz val="14"/>
        <color theme="0"/>
        <rFont val="Calibri"/>
        <family val="2"/>
        <scheme val="minor"/>
      </rPr>
      <t>0</t>
    </r>
    <r>
      <rPr>
        <sz val="11"/>
        <color theme="0"/>
        <rFont val="Calibri"/>
        <family val="2"/>
        <scheme val="minor"/>
      </rPr>
      <t xml:space="preserve">: basado en el número de corridas y número total de resultados para la muestra. </t>
    </r>
  </si>
  <si>
    <r>
      <t>La varianza de componentes V</t>
    </r>
    <r>
      <rPr>
        <vertAlign val="subscript"/>
        <sz val="11"/>
        <color theme="0"/>
        <rFont val="Calibri"/>
        <family val="2"/>
        <scheme val="minor"/>
      </rPr>
      <t>W</t>
    </r>
    <r>
      <rPr>
        <sz val="11"/>
        <color theme="0"/>
        <rFont val="Calibri"/>
        <family val="2"/>
        <scheme val="minor"/>
      </rPr>
      <t>, corresponde directamente a la varianza de la repetibilidad</t>
    </r>
  </si>
  <si>
    <t xml:space="preserve">x1 + x2 + x3 + x4 + x5 </t>
  </si>
  <si>
    <t xml:space="preserve">sd2run 1 + </t>
  </si>
  <si>
    <t xml:space="preserve">sd2run 2 + </t>
  </si>
  <si>
    <t xml:space="preserve">sd2run 3 + </t>
  </si>
  <si>
    <t xml:space="preserve">sd2run 4 + </t>
  </si>
  <si>
    <t xml:space="preserve">sd2run 5  </t>
  </si>
  <si>
    <r>
      <t xml:space="preserve">Cálculo de la gran media,                                                                                                                    </t>
    </r>
    <r>
      <rPr>
        <sz val="18"/>
        <rFont val="Calibri"/>
        <family val="2"/>
        <scheme val="minor"/>
      </rPr>
      <t>x</t>
    </r>
    <r>
      <rPr>
        <sz val="11"/>
        <rFont val="Calibri"/>
        <family val="2"/>
        <scheme val="minor"/>
      </rPr>
      <t xml:space="preserve">  =</t>
    </r>
  </si>
  <si>
    <r>
      <t xml:space="preserve">Media de las medias de las series (gran media)                                                                </t>
    </r>
    <r>
      <rPr>
        <sz val="18"/>
        <rFont val="Calibri"/>
        <family val="2"/>
        <scheme val="minor"/>
      </rPr>
      <t>x</t>
    </r>
    <r>
      <rPr>
        <sz val="11"/>
        <rFont val="Calibri"/>
        <family val="2"/>
        <scheme val="minor"/>
      </rPr>
      <t xml:space="preserve"> </t>
    </r>
  </si>
  <si>
    <r>
      <t xml:space="preserve">Varianza de la Repetibilidad                                                                                                                    </t>
    </r>
    <r>
      <rPr>
        <sz val="18"/>
        <rFont val="Calibri"/>
        <family val="2"/>
        <scheme val="minor"/>
      </rPr>
      <t>S</t>
    </r>
    <r>
      <rPr>
        <vertAlign val="subscript"/>
        <sz val="18"/>
        <rFont val="Calibri"/>
        <family val="2"/>
        <scheme val="minor"/>
      </rPr>
      <t>R</t>
    </r>
    <r>
      <rPr>
        <vertAlign val="superscript"/>
        <sz val="18"/>
        <rFont val="Calibri"/>
        <family val="2"/>
        <scheme val="minor"/>
      </rPr>
      <t>2</t>
    </r>
    <r>
      <rPr>
        <sz val="11"/>
        <rFont val="Calibri"/>
        <family val="2"/>
        <scheme val="minor"/>
      </rPr>
      <t xml:space="preserve">  =  </t>
    </r>
    <r>
      <rPr>
        <sz val="18"/>
        <rFont val="Calibri"/>
        <family val="2"/>
        <scheme val="minor"/>
      </rPr>
      <t>V</t>
    </r>
    <r>
      <rPr>
        <sz val="11"/>
        <rFont val="Calibri"/>
        <family val="2"/>
        <scheme val="minor"/>
      </rPr>
      <t>W  =  MS2</t>
    </r>
  </si>
  <si>
    <r>
      <t xml:space="preserve"> Desvío Estándar Condición de la Repetibilidad                                                                    </t>
    </r>
    <r>
      <rPr>
        <sz val="18"/>
        <rFont val="Calibri"/>
        <family val="2"/>
        <scheme val="minor"/>
      </rPr>
      <t>S</t>
    </r>
    <r>
      <rPr>
        <vertAlign val="subscript"/>
        <sz val="18"/>
        <rFont val="Calibri"/>
        <family val="2"/>
        <scheme val="minor"/>
      </rPr>
      <t>R</t>
    </r>
    <r>
      <rPr>
        <sz val="11"/>
        <rFont val="Calibri"/>
        <family val="2"/>
        <scheme val="minor"/>
      </rPr>
      <t xml:space="preserve">  =</t>
    </r>
  </si>
  <si>
    <r>
      <t xml:space="preserve">                          </t>
    </r>
    <r>
      <rPr>
        <sz val="18"/>
        <rFont val="Calibri"/>
        <family val="2"/>
        <scheme val="minor"/>
      </rPr>
      <t>x</t>
    </r>
  </si>
  <si>
    <r>
      <t xml:space="preserve"> Desvío Estándar Impresición Entre corridas                                                                           </t>
    </r>
    <r>
      <rPr>
        <sz val="18"/>
        <rFont val="Calibri"/>
        <family val="2"/>
        <scheme val="minor"/>
      </rPr>
      <t>S</t>
    </r>
    <r>
      <rPr>
        <vertAlign val="subscript"/>
        <sz val="18"/>
        <rFont val="Calibri"/>
        <family val="2"/>
        <scheme val="minor"/>
      </rPr>
      <t>B</t>
    </r>
    <r>
      <rPr>
        <sz val="11"/>
        <rFont val="Calibri"/>
        <family val="2"/>
        <scheme val="minor"/>
      </rPr>
      <t xml:space="preserve">  =</t>
    </r>
  </si>
  <si>
    <r>
      <t xml:space="preserve">                         </t>
    </r>
    <r>
      <rPr>
        <sz val="18"/>
        <rFont val="Calibri"/>
        <family val="2"/>
        <scheme val="minor"/>
      </rPr>
      <t>x</t>
    </r>
  </si>
  <si>
    <t>Desarrollado para Excel por Jorge Orellana Esparza, Tecnólogo Médico</t>
  </si>
  <si>
    <r>
      <t xml:space="preserve">Determinación de varianza de componentes </t>
    </r>
    <r>
      <rPr>
        <sz val="18"/>
        <rFont val="Arial"/>
        <family val="2"/>
      </rPr>
      <t>V</t>
    </r>
    <r>
      <rPr>
        <vertAlign val="subscript"/>
        <sz val="18"/>
        <rFont val="Arial"/>
        <family val="2"/>
      </rPr>
      <t>B</t>
    </r>
    <r>
      <rPr>
        <sz val="18"/>
        <rFont val="Arial"/>
        <family val="2"/>
      </rPr>
      <t xml:space="preserve"> - V</t>
    </r>
    <r>
      <rPr>
        <vertAlign val="subscript"/>
        <sz val="18"/>
        <rFont val="Arial"/>
        <family val="2"/>
      </rPr>
      <t>W</t>
    </r>
  </si>
  <si>
    <r>
      <t>Sea V</t>
    </r>
    <r>
      <rPr>
        <vertAlign val="subscript"/>
        <sz val="18"/>
        <color theme="1"/>
        <rFont val="Calibri"/>
        <family val="2"/>
        <scheme val="minor"/>
      </rPr>
      <t>W</t>
    </r>
    <r>
      <rPr>
        <sz val="18"/>
        <color theme="1"/>
        <rFont val="Calibri"/>
        <family val="2"/>
        <scheme val="minor"/>
      </rPr>
      <t xml:space="preserve"> = MS2</t>
    </r>
  </si>
  <si>
    <r>
      <t xml:space="preserve"> % </t>
    </r>
    <r>
      <rPr>
        <sz val="18"/>
        <color theme="1"/>
        <rFont val="Calibri"/>
        <family val="2"/>
        <scheme val="minor"/>
      </rPr>
      <t>CV</t>
    </r>
    <r>
      <rPr>
        <vertAlign val="subscript"/>
        <sz val="18"/>
        <color theme="1"/>
        <rFont val="Calibri"/>
        <family val="2"/>
        <scheme val="minor"/>
      </rPr>
      <t>WL</t>
    </r>
    <r>
      <rPr>
        <sz val="11"/>
        <color theme="1"/>
        <rFont val="Calibri"/>
        <family val="2"/>
        <scheme val="minor"/>
      </rPr>
      <t xml:space="preserve"> =                </t>
    </r>
    <r>
      <rPr>
        <sz val="18"/>
        <color theme="1"/>
        <rFont val="Calibri"/>
        <family val="2"/>
        <scheme val="minor"/>
      </rPr>
      <t>S</t>
    </r>
    <r>
      <rPr>
        <vertAlign val="subscript"/>
        <sz val="18"/>
        <color theme="1"/>
        <rFont val="Calibri"/>
        <family val="2"/>
        <scheme val="minor"/>
      </rPr>
      <t>WL</t>
    </r>
    <r>
      <rPr>
        <sz val="11"/>
        <color theme="1"/>
        <rFont val="Calibri"/>
        <family val="2"/>
        <scheme val="minor"/>
      </rPr>
      <t xml:space="preserve">  *100</t>
    </r>
  </si>
  <si>
    <r>
      <t xml:space="preserve">                        </t>
    </r>
    <r>
      <rPr>
        <sz val="18"/>
        <color theme="1"/>
        <rFont val="Calibri"/>
        <family val="2"/>
        <scheme val="minor"/>
      </rPr>
      <t>X</t>
    </r>
  </si>
  <si>
    <r>
      <t xml:space="preserve">       </t>
    </r>
    <r>
      <rPr>
        <sz val="18"/>
        <color theme="1"/>
        <rFont val="Calibri"/>
        <family val="2"/>
        <scheme val="minor"/>
      </rPr>
      <t>V</t>
    </r>
    <r>
      <rPr>
        <vertAlign val="subscript"/>
        <sz val="18"/>
        <color theme="1"/>
        <rFont val="Calibri"/>
        <family val="2"/>
        <scheme val="minor"/>
      </rPr>
      <t>B</t>
    </r>
    <r>
      <rPr>
        <sz val="11"/>
        <color theme="1"/>
        <rFont val="Calibri"/>
        <family val="2"/>
        <scheme val="minor"/>
      </rPr>
      <t xml:space="preserve"> =        </t>
    </r>
    <r>
      <rPr>
        <sz val="16"/>
        <color theme="1"/>
        <rFont val="Calibri"/>
        <family val="2"/>
        <scheme val="minor"/>
      </rPr>
      <t>( MS1 - MS2) / n</t>
    </r>
    <r>
      <rPr>
        <vertAlign val="subscript"/>
        <sz val="16"/>
        <color theme="1"/>
        <rFont val="Calibri"/>
        <family val="2"/>
        <scheme val="minor"/>
      </rPr>
      <t>0</t>
    </r>
  </si>
  <si>
    <r>
      <rPr>
        <sz val="18"/>
        <color theme="1"/>
        <rFont val="Calibri"/>
        <family val="2"/>
        <scheme val="minor"/>
      </rPr>
      <t>V</t>
    </r>
    <r>
      <rPr>
        <vertAlign val="subscript"/>
        <sz val="18"/>
        <color theme="1"/>
        <rFont val="Calibri"/>
        <family val="2"/>
        <scheme val="minor"/>
      </rPr>
      <t>B</t>
    </r>
    <r>
      <rPr>
        <sz val="11"/>
        <color theme="1"/>
        <rFont val="Calibri"/>
        <family val="2"/>
        <scheme val="minor"/>
      </rPr>
      <t xml:space="preserve"> =        </t>
    </r>
    <r>
      <rPr>
        <sz val="16"/>
        <color theme="1"/>
        <rFont val="Calibri"/>
        <family val="2"/>
        <scheme val="minor"/>
      </rPr>
      <t>( MS1 - MS2)</t>
    </r>
    <r>
      <rPr>
        <sz val="11"/>
        <color theme="1"/>
        <rFont val="Calibri"/>
        <family val="2"/>
        <scheme val="minor"/>
      </rPr>
      <t xml:space="preserve">  </t>
    </r>
  </si>
  <si>
    <r>
      <rPr>
        <sz val="16"/>
        <color theme="1"/>
        <rFont val="Calibri"/>
        <family val="2"/>
        <scheme val="minor"/>
      </rPr>
      <t>n</t>
    </r>
    <r>
      <rPr>
        <vertAlign val="subscript"/>
        <sz val="16"/>
        <color theme="1"/>
        <rFont val="Calibri"/>
        <family val="2"/>
        <scheme val="minor"/>
      </rPr>
      <t>0</t>
    </r>
  </si>
  <si>
    <r>
      <t>Entonces: % CV</t>
    </r>
    <r>
      <rPr>
        <vertAlign val="subscript"/>
        <sz val="14"/>
        <rFont val="Calibri"/>
        <family val="2"/>
        <scheme val="minor"/>
      </rPr>
      <t>R</t>
    </r>
    <r>
      <rPr>
        <sz val="14"/>
        <rFont val="Calibri"/>
        <family val="2"/>
        <scheme val="minor"/>
      </rPr>
      <t xml:space="preserve"> =                      </t>
    </r>
    <r>
      <rPr>
        <sz val="18"/>
        <rFont val="Calibri"/>
        <family val="2"/>
        <scheme val="minor"/>
      </rPr>
      <t>S</t>
    </r>
    <r>
      <rPr>
        <vertAlign val="subscript"/>
        <sz val="18"/>
        <rFont val="Calibri"/>
        <family val="2"/>
        <scheme val="minor"/>
      </rPr>
      <t>R</t>
    </r>
    <r>
      <rPr>
        <sz val="14"/>
        <rFont val="Calibri"/>
        <family val="2"/>
        <scheme val="minor"/>
      </rPr>
      <t xml:space="preserve">  *100</t>
    </r>
  </si>
  <si>
    <r>
      <t xml:space="preserve">       </t>
    </r>
    <r>
      <rPr>
        <b/>
        <sz val="14"/>
        <rFont val="Calibri"/>
        <family val="2"/>
        <scheme val="minor"/>
      </rPr>
      <t>S</t>
    </r>
    <r>
      <rPr>
        <b/>
        <vertAlign val="subscript"/>
        <sz val="14"/>
        <rFont val="Calibri"/>
        <family val="2"/>
        <scheme val="minor"/>
      </rPr>
      <t>R</t>
    </r>
    <r>
      <rPr>
        <b/>
        <sz val="10"/>
        <rFont val="Arial"/>
        <family val="2"/>
      </rPr>
      <t>=              d=1  i=1</t>
    </r>
  </si>
  <si>
    <t xml:space="preserve">                                        D (n-1)</t>
  </si>
  <si>
    <t xml:space="preserve">                                               X</t>
  </si>
  <si>
    <r>
      <t xml:space="preserve">Verfique la repetibilidad definida comparando la repetibilidad estimada calculada en </t>
    </r>
    <r>
      <rPr>
        <b/>
        <sz val="12"/>
        <rFont val="Calibri"/>
        <family val="2"/>
        <scheme val="minor"/>
      </rPr>
      <t>B66</t>
    </r>
    <r>
      <rPr>
        <sz val="12"/>
        <rFont val="Calibri"/>
        <family val="2"/>
        <scheme val="minor"/>
      </rPr>
      <t xml:space="preserve">, con la definida por el fabricante </t>
    </r>
    <r>
      <rPr>
        <b/>
        <sz val="12"/>
        <rFont val="Calibri"/>
        <family val="2"/>
        <scheme val="minor"/>
      </rPr>
      <t>B19</t>
    </r>
    <r>
      <rPr>
        <sz val="12"/>
        <rFont val="Calibri"/>
        <family val="2"/>
        <scheme val="minor"/>
      </rPr>
      <t xml:space="preserve">. </t>
    </r>
  </si>
  <si>
    <r>
      <t>1- Si % CV</t>
    </r>
    <r>
      <rPr>
        <vertAlign val="subscript"/>
        <sz val="11"/>
        <color theme="0"/>
        <rFont val="Calibri"/>
        <family val="2"/>
        <scheme val="minor"/>
      </rPr>
      <t>R</t>
    </r>
    <r>
      <rPr>
        <sz val="11"/>
        <color theme="0"/>
        <rFont val="Calibri"/>
        <family val="2"/>
        <scheme val="minor"/>
      </rPr>
      <t xml:space="preserve"> calculado &lt;  % CV</t>
    </r>
    <r>
      <rPr>
        <vertAlign val="subscript"/>
        <sz val="11"/>
        <color theme="0"/>
        <rFont val="Calibri"/>
        <family val="2"/>
        <scheme val="minor"/>
      </rPr>
      <t>R</t>
    </r>
    <r>
      <rPr>
        <sz val="11"/>
        <color theme="0"/>
        <rFont val="Calibri"/>
        <family val="2"/>
        <scheme val="minor"/>
      </rPr>
      <t xml:space="preserve"> definido, el usuario ha demostrado precisión consistente ( la repetibilidad), con las indicaciones del fabricante.</t>
    </r>
  </si>
  <si>
    <r>
      <t>2- Si CVR calculado &gt;  CV</t>
    </r>
    <r>
      <rPr>
        <vertAlign val="subscript"/>
        <sz val="11"/>
        <color theme="0"/>
        <rFont val="Calibri"/>
        <family val="2"/>
        <scheme val="minor"/>
      </rPr>
      <t>R</t>
    </r>
    <r>
      <rPr>
        <sz val="11"/>
        <color theme="0"/>
        <rFont val="Calibri"/>
        <family val="2"/>
        <scheme val="minor"/>
      </rPr>
      <t xml:space="preserve"> definido , nótese que la repetibilidad puede ser mayor que la definida por el fabricante y no ser tan diferente estadísticamente de la definida. La impresición observada, puede llegar a ser mayor que la declarada en un 50 % de las veces, debido sólo a la casualidad (chance alone). Para limitar este defecto, se debe calcular el Factor UVL para la imprecisión declarada en condiciones de repetibilidad.</t>
    </r>
  </si>
  <si>
    <t>Número de resultados obtenidos en el experimento</t>
  </si>
  <si>
    <t>dfwl</t>
  </si>
  <si>
    <t>N° días ( corridas)</t>
  </si>
  <si>
    <t>N° total replicados</t>
  </si>
  <si>
    <t>Promedio de la Evaluación</t>
  </si>
  <si>
    <t>N° replicados por día</t>
  </si>
  <si>
    <t>° Libertad para N corridas,</t>
  </si>
  <si>
    <t>Material de Referencia</t>
  </si>
  <si>
    <t>Lote Calibrador</t>
  </si>
  <si>
    <t>Vto. Calibrador</t>
  </si>
  <si>
    <t>Vencimiento</t>
  </si>
  <si>
    <t>Desv. Estándar grupo par (SDg)</t>
  </si>
  <si>
    <t>N° laboratorios grupo par  (Ng)</t>
  </si>
  <si>
    <t>Replicas</t>
  </si>
  <si>
    <t>Resultado de la prueba</t>
  </si>
  <si>
    <t>Réplica 1 (X1)</t>
  </si>
  <si>
    <t>Réplica 2 (X2)</t>
  </si>
  <si>
    <t>Fecha:</t>
  </si>
  <si>
    <t>n</t>
  </si>
  <si>
    <t>Cálculo de la media Xm</t>
  </si>
  <si>
    <r>
      <t xml:space="preserve">                       ∑ xi      ∑ xi                               </t>
    </r>
    <r>
      <rPr>
        <b/>
        <vertAlign val="subscript"/>
        <sz val="12"/>
        <rFont val="Arial"/>
        <family val="2"/>
      </rPr>
      <t/>
    </r>
  </si>
  <si>
    <t xml:space="preserve">i =1      </t>
  </si>
  <si>
    <t>Valor Inferior</t>
  </si>
  <si>
    <t>Valor Superior</t>
  </si>
  <si>
    <t>Intervalo de Verificación:</t>
  </si>
  <si>
    <t>Resultados Comparación observada con la definida por el Fabricante en condiciones de Repetibilidad</t>
  </si>
  <si>
    <r>
      <t>UVL : Límite corregido para Impresición % CV</t>
    </r>
    <r>
      <rPr>
        <vertAlign val="subscript"/>
        <sz val="12"/>
        <color theme="0"/>
        <rFont val="Calibri"/>
        <family val="2"/>
        <scheme val="minor"/>
      </rPr>
      <t>R</t>
    </r>
    <r>
      <rPr>
        <sz val="12"/>
        <color theme="0"/>
        <rFont val="Calibri"/>
        <family val="2"/>
        <scheme val="minor"/>
      </rPr>
      <t xml:space="preserve"> declarada </t>
    </r>
  </si>
  <si>
    <r>
      <t xml:space="preserve"> % CV</t>
    </r>
    <r>
      <rPr>
        <vertAlign val="subscript"/>
        <sz val="12"/>
        <color theme="0"/>
        <rFont val="Calibri"/>
        <family val="2"/>
        <scheme val="minor"/>
      </rPr>
      <t>WL</t>
    </r>
    <r>
      <rPr>
        <sz val="12"/>
        <color theme="0"/>
        <rFont val="Calibri"/>
        <family val="2"/>
        <scheme val="minor"/>
      </rPr>
      <t xml:space="preserve"> Definido por el Fabricante</t>
    </r>
  </si>
  <si>
    <r>
      <t xml:space="preserve"> % CV</t>
    </r>
    <r>
      <rPr>
        <vertAlign val="subscript"/>
        <sz val="12"/>
        <color theme="0"/>
        <rFont val="Calibri"/>
        <family val="2"/>
        <scheme val="minor"/>
      </rPr>
      <t>WL</t>
    </r>
    <r>
      <rPr>
        <sz val="12"/>
        <color theme="0"/>
        <rFont val="Calibri"/>
        <family val="2"/>
        <scheme val="minor"/>
      </rPr>
      <t xml:space="preserve"> Obtenido en condiciones Impresición Intralaboratorio</t>
    </r>
  </si>
  <si>
    <r>
      <t>Resultados Comparación observada con la definida por el fabricante en condiciones de precisión Intralaboratorio %CV</t>
    </r>
    <r>
      <rPr>
        <vertAlign val="subscript"/>
        <sz val="12"/>
        <color theme="0"/>
        <rFont val="Calibri"/>
        <family val="2"/>
        <scheme val="minor"/>
      </rPr>
      <t>WL</t>
    </r>
  </si>
  <si>
    <r>
      <t>UVL : Límite corregido para Impresición % CV</t>
    </r>
    <r>
      <rPr>
        <vertAlign val="subscript"/>
        <sz val="12"/>
        <color theme="0"/>
        <rFont val="Calibri"/>
        <family val="2"/>
        <scheme val="minor"/>
      </rPr>
      <t>WL</t>
    </r>
    <r>
      <rPr>
        <sz val="12"/>
        <color theme="0"/>
        <rFont val="Calibri"/>
        <family val="2"/>
        <scheme val="minor"/>
      </rPr>
      <t xml:space="preserve"> declarada </t>
    </r>
  </si>
  <si>
    <r>
      <t xml:space="preserve">Verifique la imprecisión intralaboratorio definida comparando la imprecisión intralaboratorio estimada calculada en </t>
    </r>
    <r>
      <rPr>
        <b/>
        <sz val="12"/>
        <rFont val="Calibri"/>
        <family val="2"/>
        <scheme val="minor"/>
      </rPr>
      <t>B78</t>
    </r>
    <r>
      <rPr>
        <sz val="10"/>
        <rFont val="Arial"/>
        <family val="2"/>
      </rPr>
      <t xml:space="preserve">, con la definida por el fabricante </t>
    </r>
    <r>
      <rPr>
        <b/>
        <sz val="12"/>
        <rFont val="Calibri"/>
        <family val="2"/>
        <scheme val="minor"/>
      </rPr>
      <t>B20</t>
    </r>
    <r>
      <rPr>
        <sz val="10"/>
        <rFont val="Arial"/>
        <family val="2"/>
      </rPr>
      <t xml:space="preserve">. </t>
    </r>
  </si>
  <si>
    <r>
      <t xml:space="preserve">Compare </t>
    </r>
    <r>
      <rPr>
        <sz val="14"/>
        <rFont val="Calibri"/>
        <family val="2"/>
        <scheme val="minor"/>
      </rPr>
      <t>% CV</t>
    </r>
    <r>
      <rPr>
        <vertAlign val="subscript"/>
        <sz val="14"/>
        <rFont val="Calibri"/>
        <family val="2"/>
        <scheme val="minor"/>
      </rPr>
      <t>WL</t>
    </r>
    <r>
      <rPr>
        <b/>
        <sz val="16"/>
        <rFont val="Arial"/>
        <family val="2"/>
      </rPr>
      <t xml:space="preserve"> </t>
    </r>
    <r>
      <rPr>
        <b/>
        <sz val="10"/>
        <rFont val="Arial"/>
        <family val="2"/>
      </rPr>
      <t xml:space="preserve">calculado con el definido por el fabricante  </t>
    </r>
    <r>
      <rPr>
        <b/>
        <sz val="14"/>
        <rFont val="Calibri"/>
        <family val="2"/>
        <scheme val="minor"/>
      </rPr>
      <t xml:space="preserve">% </t>
    </r>
    <r>
      <rPr>
        <sz val="14"/>
        <rFont val="Calibri"/>
        <family val="2"/>
        <scheme val="minor"/>
      </rPr>
      <t>CV</t>
    </r>
    <r>
      <rPr>
        <vertAlign val="subscript"/>
        <sz val="14"/>
        <rFont val="Calibri"/>
        <family val="2"/>
        <scheme val="minor"/>
      </rPr>
      <t>WL</t>
    </r>
  </si>
  <si>
    <r>
      <t>SS</t>
    </r>
    <r>
      <rPr>
        <vertAlign val="subscript"/>
        <sz val="12"/>
        <rFont val="Arial"/>
        <family val="2"/>
      </rPr>
      <t>T</t>
    </r>
    <r>
      <rPr>
        <sz val="12"/>
        <rFont val="Arial"/>
        <family val="2"/>
      </rPr>
      <t>: Total</t>
    </r>
  </si>
  <si>
    <t>Número de resultados por corrida,  n</t>
  </si>
  <si>
    <t>La media de una variable por una constante es igual a la media de la variable por la constante</t>
  </si>
  <si>
    <r>
      <t>Coeficiente de Variación Impresición Entre corridas                                          %</t>
    </r>
    <r>
      <rPr>
        <sz val="18"/>
        <rFont val="Calibri"/>
        <family val="2"/>
        <scheme val="minor"/>
      </rPr>
      <t xml:space="preserve"> CV</t>
    </r>
    <r>
      <rPr>
        <vertAlign val="subscript"/>
        <sz val="18"/>
        <rFont val="Calibri"/>
        <family val="2"/>
        <scheme val="minor"/>
      </rPr>
      <t>B</t>
    </r>
    <r>
      <rPr>
        <sz val="11"/>
        <rFont val="Calibri"/>
        <family val="2"/>
        <scheme val="minor"/>
      </rPr>
      <t xml:space="preserve"> =                </t>
    </r>
    <r>
      <rPr>
        <sz val="18"/>
        <rFont val="Calibri"/>
        <family val="2"/>
        <scheme val="minor"/>
      </rPr>
      <t>S</t>
    </r>
    <r>
      <rPr>
        <vertAlign val="subscript"/>
        <sz val="18"/>
        <rFont val="Calibri"/>
        <family val="2"/>
        <scheme val="minor"/>
      </rPr>
      <t>B</t>
    </r>
    <r>
      <rPr>
        <sz val="11"/>
        <rFont val="Calibri"/>
        <family val="2"/>
        <scheme val="minor"/>
      </rPr>
      <t xml:space="preserve">  *100</t>
    </r>
  </si>
  <si>
    <r>
      <t xml:space="preserve"> Coeficiente de Variación de la Repetibilidad                                                              % </t>
    </r>
    <r>
      <rPr>
        <sz val="18"/>
        <rFont val="Calibri"/>
        <family val="2"/>
        <scheme val="minor"/>
      </rPr>
      <t>CV</t>
    </r>
    <r>
      <rPr>
        <vertAlign val="subscript"/>
        <sz val="18"/>
        <rFont val="Calibri"/>
        <family val="2"/>
        <scheme val="minor"/>
      </rPr>
      <t>R</t>
    </r>
    <r>
      <rPr>
        <sz val="11"/>
        <rFont val="Calibri"/>
        <family val="2"/>
        <scheme val="minor"/>
      </rPr>
      <t xml:space="preserve"> =                       </t>
    </r>
    <r>
      <rPr>
        <sz val="18"/>
        <rFont val="Calibri"/>
        <family val="2"/>
        <scheme val="minor"/>
      </rPr>
      <t>S</t>
    </r>
    <r>
      <rPr>
        <vertAlign val="subscript"/>
        <sz val="18"/>
        <rFont val="Calibri"/>
        <family val="2"/>
        <scheme val="minor"/>
      </rPr>
      <t>R</t>
    </r>
    <r>
      <rPr>
        <sz val="11"/>
        <rFont val="Calibri"/>
        <family val="2"/>
        <scheme val="minor"/>
      </rPr>
      <t xml:space="preserve">  *100</t>
    </r>
  </si>
  <si>
    <r>
      <t>Within-run (SS</t>
    </r>
    <r>
      <rPr>
        <vertAlign val="subscript"/>
        <sz val="12"/>
        <rFont val="Calibri"/>
        <family val="2"/>
        <scheme val="minor"/>
      </rPr>
      <t>2</t>
    </r>
    <r>
      <rPr>
        <sz val="12"/>
        <rFont val="Calibri"/>
        <family val="2"/>
        <scheme val="minor"/>
      </rPr>
      <t>)</t>
    </r>
  </si>
  <si>
    <r>
      <t>Between-run (SS</t>
    </r>
    <r>
      <rPr>
        <vertAlign val="subscript"/>
        <sz val="12"/>
        <color theme="0"/>
        <rFont val="Calibri"/>
        <family val="2"/>
        <scheme val="minor"/>
      </rPr>
      <t>1</t>
    </r>
    <r>
      <rPr>
        <sz val="12"/>
        <color theme="0"/>
        <rFont val="Calibri"/>
        <family val="2"/>
        <scheme val="minor"/>
      </rPr>
      <t>)</t>
    </r>
  </si>
  <si>
    <r>
      <t>Fuente total de Variación SS</t>
    </r>
    <r>
      <rPr>
        <vertAlign val="subscript"/>
        <sz val="12"/>
        <rFont val="Calibri"/>
        <family val="2"/>
        <scheme val="minor"/>
      </rPr>
      <t>T</t>
    </r>
  </si>
  <si>
    <t>i = 1</t>
  </si>
  <si>
    <r>
      <t xml:space="preserve">        SS</t>
    </r>
    <r>
      <rPr>
        <vertAlign val="subscript"/>
        <sz val="12"/>
        <color rgb="FF000000"/>
        <rFont val="Calibri"/>
        <family val="2"/>
        <scheme val="minor"/>
      </rPr>
      <t>1</t>
    </r>
    <r>
      <rPr>
        <b/>
        <sz val="12"/>
        <rFont val="Arial"/>
        <family val="2"/>
      </rPr>
      <t xml:space="preserve">=     </t>
    </r>
  </si>
  <si>
    <r>
      <t xml:space="preserve">                                                                      n   ∑ (x</t>
    </r>
    <r>
      <rPr>
        <b/>
        <vertAlign val="subscript"/>
        <sz val="12"/>
        <rFont val="Arial"/>
        <family val="2"/>
      </rPr>
      <t>d</t>
    </r>
    <r>
      <rPr>
        <b/>
        <sz val="12"/>
        <rFont val="Arial"/>
        <family val="2"/>
      </rPr>
      <t xml:space="preserve"> - </t>
    </r>
    <r>
      <rPr>
        <b/>
        <sz val="14"/>
        <rFont val="Calibri"/>
        <family val="2"/>
        <scheme val="minor"/>
      </rPr>
      <t>x</t>
    </r>
    <r>
      <rPr>
        <b/>
        <sz val="12"/>
        <rFont val="Arial"/>
        <family val="2"/>
      </rPr>
      <t xml:space="preserve"> )</t>
    </r>
    <r>
      <rPr>
        <b/>
        <vertAlign val="superscript"/>
        <sz val="12"/>
        <rFont val="Arial"/>
        <family val="2"/>
      </rPr>
      <t>2</t>
    </r>
    <r>
      <rPr>
        <b/>
        <sz val="12"/>
        <rFont val="Arial"/>
        <family val="2"/>
      </rPr>
      <t xml:space="preserve"> </t>
    </r>
  </si>
  <si>
    <t xml:space="preserve">n </t>
  </si>
  <si>
    <r>
      <t>SS</t>
    </r>
    <r>
      <rPr>
        <b/>
        <vertAlign val="subscript"/>
        <sz val="16"/>
        <color theme="0"/>
        <rFont val="Calibri"/>
        <family val="2"/>
        <scheme val="minor"/>
      </rPr>
      <t>1</t>
    </r>
  </si>
  <si>
    <r>
      <t>SS</t>
    </r>
    <r>
      <rPr>
        <b/>
        <vertAlign val="subscript"/>
        <sz val="16"/>
        <rFont val="Calibri"/>
        <family val="2"/>
        <scheme val="minor"/>
      </rPr>
      <t>2</t>
    </r>
  </si>
  <si>
    <r>
      <t>∑ (xd</t>
    </r>
    <r>
      <rPr>
        <b/>
        <vertAlign val="subscript"/>
        <sz val="10"/>
        <rFont val="Arial"/>
        <family val="2"/>
      </rPr>
      <t>i</t>
    </r>
    <r>
      <rPr>
        <b/>
        <sz val="10"/>
        <rFont val="Arial"/>
        <family val="2"/>
      </rPr>
      <t xml:space="preserve"> - x )</t>
    </r>
    <r>
      <rPr>
        <b/>
        <vertAlign val="superscript"/>
        <sz val="10"/>
        <rFont val="Arial"/>
        <family val="2"/>
      </rPr>
      <t>2</t>
    </r>
    <r>
      <rPr>
        <b/>
        <sz val="10"/>
        <rFont val="Arial"/>
        <family val="2"/>
      </rPr>
      <t xml:space="preserve"> = (xd</t>
    </r>
    <r>
      <rPr>
        <b/>
        <vertAlign val="subscript"/>
        <sz val="10"/>
        <rFont val="Arial"/>
        <family val="2"/>
      </rPr>
      <t>1</t>
    </r>
    <r>
      <rPr>
        <b/>
        <sz val="10"/>
        <rFont val="Arial"/>
        <family val="2"/>
      </rPr>
      <t xml:space="preserve"> - x)</t>
    </r>
    <r>
      <rPr>
        <b/>
        <vertAlign val="superscript"/>
        <sz val="10"/>
        <rFont val="Arial"/>
        <family val="2"/>
      </rPr>
      <t>2</t>
    </r>
    <r>
      <rPr>
        <b/>
        <sz val="10"/>
        <rFont val="Arial"/>
        <family val="2"/>
      </rPr>
      <t xml:space="preserve"> + (xd</t>
    </r>
    <r>
      <rPr>
        <b/>
        <vertAlign val="subscript"/>
        <sz val="10"/>
        <rFont val="Arial"/>
        <family val="2"/>
      </rPr>
      <t>2</t>
    </r>
    <r>
      <rPr>
        <b/>
        <sz val="10"/>
        <rFont val="Arial"/>
        <family val="2"/>
      </rPr>
      <t xml:space="preserve"> - x)</t>
    </r>
    <r>
      <rPr>
        <b/>
        <vertAlign val="superscript"/>
        <sz val="10"/>
        <rFont val="Arial"/>
        <family val="2"/>
      </rPr>
      <t>2</t>
    </r>
    <r>
      <rPr>
        <b/>
        <sz val="10"/>
        <rFont val="Arial"/>
        <family val="2"/>
      </rPr>
      <t xml:space="preserve"> + (xd</t>
    </r>
    <r>
      <rPr>
        <b/>
        <vertAlign val="subscript"/>
        <sz val="10"/>
        <rFont val="Arial"/>
        <family val="2"/>
      </rPr>
      <t>3</t>
    </r>
    <r>
      <rPr>
        <b/>
        <sz val="10"/>
        <rFont val="Arial"/>
        <family val="2"/>
      </rPr>
      <t xml:space="preserve"> -x)</t>
    </r>
    <r>
      <rPr>
        <b/>
        <vertAlign val="superscript"/>
        <sz val="10"/>
        <rFont val="Arial"/>
        <family val="2"/>
      </rPr>
      <t xml:space="preserve">2 + </t>
    </r>
    <r>
      <rPr>
        <b/>
        <sz val="10"/>
        <rFont val="Arial"/>
        <family val="2"/>
      </rPr>
      <t>(xd</t>
    </r>
    <r>
      <rPr>
        <b/>
        <vertAlign val="subscript"/>
        <sz val="10"/>
        <rFont val="Arial"/>
        <family val="2"/>
      </rPr>
      <t>4</t>
    </r>
    <r>
      <rPr>
        <b/>
        <vertAlign val="superscript"/>
        <sz val="10"/>
        <rFont val="Arial"/>
        <family val="2"/>
      </rPr>
      <t xml:space="preserve"> - </t>
    </r>
    <r>
      <rPr>
        <b/>
        <sz val="10"/>
        <rFont val="Arial"/>
        <family val="2"/>
      </rPr>
      <t>x)</t>
    </r>
    <r>
      <rPr>
        <b/>
        <vertAlign val="superscript"/>
        <sz val="10"/>
        <rFont val="Arial"/>
        <family val="2"/>
      </rPr>
      <t xml:space="preserve">2 + </t>
    </r>
    <r>
      <rPr>
        <b/>
        <sz val="10"/>
        <rFont val="Arial"/>
        <family val="2"/>
      </rPr>
      <t>(xd</t>
    </r>
    <r>
      <rPr>
        <b/>
        <vertAlign val="subscript"/>
        <sz val="10"/>
        <rFont val="Arial"/>
        <family val="2"/>
      </rPr>
      <t>5</t>
    </r>
    <r>
      <rPr>
        <b/>
        <sz val="10"/>
        <rFont val="Arial"/>
        <family val="2"/>
      </rPr>
      <t xml:space="preserve"> - x)</t>
    </r>
    <r>
      <rPr>
        <b/>
        <vertAlign val="superscript"/>
        <sz val="10"/>
        <rFont val="Arial"/>
        <family val="2"/>
      </rPr>
      <t>2</t>
    </r>
  </si>
  <si>
    <t>(xd1 - x )</t>
  </si>
  <si>
    <t>(xd1 - x )2</t>
  </si>
  <si>
    <t>(xd2 - x )</t>
  </si>
  <si>
    <t>(xd2 - x )2</t>
  </si>
  <si>
    <t>(xd3 - x )</t>
  </si>
  <si>
    <t>(xd3 - x )2</t>
  </si>
  <si>
    <t>(xd4 - x )</t>
  </si>
  <si>
    <t>(xd4 - x )2</t>
  </si>
  <si>
    <t>(xd5 - x )</t>
  </si>
  <si>
    <t>(xd5 - x )2</t>
  </si>
  <si>
    <r>
      <t>(  xd</t>
    </r>
    <r>
      <rPr>
        <vertAlign val="subscript"/>
        <sz val="11"/>
        <color theme="1"/>
        <rFont val="Calibri"/>
        <family val="2"/>
        <scheme val="minor"/>
      </rPr>
      <t>1</t>
    </r>
    <r>
      <rPr>
        <sz val="11"/>
        <color theme="1"/>
        <rFont val="Calibri"/>
        <family val="2"/>
        <scheme val="minor"/>
      </rPr>
      <t xml:space="preserve"> - x  )</t>
    </r>
    <r>
      <rPr>
        <vertAlign val="superscript"/>
        <sz val="14"/>
        <color theme="1"/>
        <rFont val="Calibri"/>
        <family val="2"/>
        <scheme val="minor"/>
      </rPr>
      <t>2</t>
    </r>
    <r>
      <rPr>
        <sz val="11"/>
        <color theme="1"/>
        <rFont val="Calibri"/>
        <family val="2"/>
        <scheme val="minor"/>
      </rPr>
      <t xml:space="preserve">  +  (  xd</t>
    </r>
    <r>
      <rPr>
        <vertAlign val="subscript"/>
        <sz val="11"/>
        <color theme="1"/>
        <rFont val="Calibri"/>
        <family val="2"/>
        <scheme val="minor"/>
      </rPr>
      <t>2</t>
    </r>
    <r>
      <rPr>
        <sz val="11"/>
        <color theme="1"/>
        <rFont val="Calibri"/>
        <family val="2"/>
        <scheme val="minor"/>
      </rPr>
      <t xml:space="preserve"> - x  )</t>
    </r>
    <r>
      <rPr>
        <vertAlign val="superscript"/>
        <sz val="14"/>
        <color theme="1"/>
        <rFont val="Calibri"/>
        <family val="2"/>
        <scheme val="minor"/>
      </rPr>
      <t>2</t>
    </r>
    <r>
      <rPr>
        <sz val="11"/>
        <color theme="1"/>
        <rFont val="Calibri"/>
        <family val="2"/>
        <scheme val="minor"/>
      </rPr>
      <t xml:space="preserve"> + (  xd</t>
    </r>
    <r>
      <rPr>
        <vertAlign val="subscript"/>
        <sz val="11"/>
        <color theme="1"/>
        <rFont val="Calibri"/>
        <family val="2"/>
        <scheme val="minor"/>
      </rPr>
      <t>3</t>
    </r>
    <r>
      <rPr>
        <sz val="11"/>
        <color theme="1"/>
        <rFont val="Calibri"/>
        <family val="2"/>
        <scheme val="minor"/>
      </rPr>
      <t xml:space="preserve"> - x  )</t>
    </r>
    <r>
      <rPr>
        <vertAlign val="superscript"/>
        <sz val="14"/>
        <color theme="1"/>
        <rFont val="Calibri"/>
        <family val="2"/>
        <scheme val="minor"/>
      </rPr>
      <t>2</t>
    </r>
    <r>
      <rPr>
        <sz val="11"/>
        <color theme="1"/>
        <rFont val="Calibri"/>
        <family val="2"/>
        <scheme val="minor"/>
      </rPr>
      <t xml:space="preserve"> + (  xd</t>
    </r>
    <r>
      <rPr>
        <vertAlign val="subscript"/>
        <sz val="11"/>
        <color theme="1"/>
        <rFont val="Calibri"/>
        <family val="2"/>
        <scheme val="minor"/>
      </rPr>
      <t>4</t>
    </r>
    <r>
      <rPr>
        <sz val="11"/>
        <color theme="1"/>
        <rFont val="Calibri"/>
        <family val="2"/>
        <scheme val="minor"/>
      </rPr>
      <t xml:space="preserve"> - x  )</t>
    </r>
    <r>
      <rPr>
        <vertAlign val="superscript"/>
        <sz val="14"/>
        <color theme="1"/>
        <rFont val="Calibri"/>
        <family val="2"/>
        <scheme val="minor"/>
      </rPr>
      <t>2</t>
    </r>
    <r>
      <rPr>
        <sz val="11"/>
        <color theme="1"/>
        <rFont val="Calibri"/>
        <family val="2"/>
        <scheme val="minor"/>
      </rPr>
      <t xml:space="preserve"> + (  xd</t>
    </r>
    <r>
      <rPr>
        <vertAlign val="subscript"/>
        <sz val="11"/>
        <color theme="1"/>
        <rFont val="Calibri"/>
        <family val="2"/>
        <scheme val="minor"/>
      </rPr>
      <t>5</t>
    </r>
    <r>
      <rPr>
        <sz val="11"/>
        <color theme="1"/>
        <rFont val="Calibri"/>
        <family val="2"/>
        <scheme val="minor"/>
      </rPr>
      <t xml:space="preserve"> - x  )</t>
    </r>
    <r>
      <rPr>
        <vertAlign val="superscript"/>
        <sz val="14"/>
        <color theme="1"/>
        <rFont val="Calibri"/>
        <family val="2"/>
        <scheme val="minor"/>
      </rPr>
      <t>2</t>
    </r>
  </si>
  <si>
    <r>
      <t>S</t>
    </r>
    <r>
      <rPr>
        <vertAlign val="superscript"/>
        <sz val="14"/>
        <rFont val="Calibri"/>
        <family val="2"/>
        <scheme val="minor"/>
      </rPr>
      <t>2</t>
    </r>
    <r>
      <rPr>
        <sz val="14"/>
        <rFont val="Calibri"/>
        <family val="2"/>
        <scheme val="minor"/>
      </rPr>
      <t>=        ∑ (xdi   -   x )</t>
    </r>
    <r>
      <rPr>
        <vertAlign val="superscript"/>
        <sz val="14"/>
        <rFont val="Calibri"/>
        <family val="2"/>
        <scheme val="minor"/>
      </rPr>
      <t>2</t>
    </r>
    <r>
      <rPr>
        <sz val="14"/>
        <rFont val="Calibri"/>
        <family val="2"/>
        <scheme val="minor"/>
      </rPr>
      <t xml:space="preserve"> </t>
    </r>
  </si>
  <si>
    <t xml:space="preserve">                                        d=1  n </t>
  </si>
  <si>
    <r>
      <t xml:space="preserve">                           X =   </t>
    </r>
    <r>
      <rPr>
        <vertAlign val="subscript"/>
        <sz val="16"/>
        <rFont val="Arial"/>
        <family val="2"/>
      </rPr>
      <t xml:space="preserve"> </t>
    </r>
    <r>
      <rPr>
        <sz val="16"/>
        <rFont val="Arial"/>
        <family val="2"/>
      </rPr>
      <t>∑ x</t>
    </r>
    <r>
      <rPr>
        <vertAlign val="subscript"/>
        <sz val="16"/>
        <rFont val="Arial"/>
        <family val="2"/>
      </rPr>
      <t>i</t>
    </r>
  </si>
  <si>
    <r>
      <t xml:space="preserve">Cálculo Varianza promedio: </t>
    </r>
    <r>
      <rPr>
        <sz val="18"/>
        <rFont val="Calibri"/>
        <family val="2"/>
        <scheme val="minor"/>
      </rPr>
      <t>S</t>
    </r>
    <r>
      <rPr>
        <vertAlign val="subscript"/>
        <sz val="18"/>
        <rFont val="Calibri"/>
        <family val="2"/>
        <scheme val="minor"/>
      </rPr>
      <t>R</t>
    </r>
    <r>
      <rPr>
        <vertAlign val="superscript"/>
        <sz val="18"/>
        <rFont val="Calibri"/>
        <family val="2"/>
        <scheme val="minor"/>
      </rPr>
      <t>2</t>
    </r>
    <r>
      <rPr>
        <sz val="11"/>
        <rFont val="Calibri"/>
        <family val="2"/>
        <scheme val="minor"/>
      </rPr>
      <t xml:space="preserve">                                                                                                                                                         ( Repetibilidad, precisión intracorrida) </t>
    </r>
  </si>
  <si>
    <r>
      <t xml:space="preserve">Varianza Impresición Entre corridas                                                                                          </t>
    </r>
    <r>
      <rPr>
        <sz val="18"/>
        <rFont val="Calibri"/>
        <family val="2"/>
        <scheme val="minor"/>
      </rPr>
      <t>S</t>
    </r>
    <r>
      <rPr>
        <vertAlign val="subscript"/>
        <sz val="18"/>
        <rFont val="Calibri"/>
        <family val="2"/>
        <scheme val="minor"/>
      </rPr>
      <t>B</t>
    </r>
    <r>
      <rPr>
        <vertAlign val="superscript"/>
        <sz val="18"/>
        <rFont val="Calibri"/>
        <family val="2"/>
        <scheme val="minor"/>
      </rPr>
      <t>2</t>
    </r>
    <r>
      <rPr>
        <sz val="11"/>
        <rFont val="Calibri"/>
        <family val="2"/>
        <scheme val="minor"/>
      </rPr>
      <t xml:space="preserve">   =   </t>
    </r>
    <r>
      <rPr>
        <sz val="16"/>
        <rFont val="Calibri"/>
        <family val="2"/>
        <scheme val="minor"/>
      </rPr>
      <t>V</t>
    </r>
    <r>
      <rPr>
        <vertAlign val="subscript"/>
        <sz val="16"/>
        <rFont val="Calibri"/>
        <family val="2"/>
        <scheme val="minor"/>
      </rPr>
      <t>B</t>
    </r>
    <r>
      <rPr>
        <sz val="11"/>
        <rFont val="Calibri"/>
        <family val="2"/>
        <scheme val="minor"/>
      </rPr>
      <t xml:space="preserve">            = (MS1 - MS2)/n0</t>
    </r>
  </si>
  <si>
    <r>
      <t xml:space="preserve">Desvío Estándar Condición Impresición intralaboratorio                  </t>
    </r>
    <r>
      <rPr>
        <sz val="18"/>
        <color theme="0"/>
        <rFont val="Calibri"/>
        <family val="2"/>
        <scheme val="minor"/>
      </rPr>
      <t>S</t>
    </r>
    <r>
      <rPr>
        <vertAlign val="subscript"/>
        <sz val="18"/>
        <color theme="0"/>
        <rFont val="Calibri"/>
        <family val="2"/>
        <scheme val="minor"/>
      </rPr>
      <t>WL</t>
    </r>
    <r>
      <rPr>
        <sz val="16"/>
        <color theme="0"/>
        <rFont val="Calibri"/>
        <family val="2"/>
        <scheme val="minor"/>
      </rPr>
      <t xml:space="preserve"> =      </t>
    </r>
    <r>
      <rPr>
        <sz val="18"/>
        <color theme="0"/>
        <rFont val="Calibri"/>
        <family val="2"/>
        <scheme val="minor"/>
      </rPr>
      <t xml:space="preserve"> </t>
    </r>
    <r>
      <rPr>
        <sz val="22"/>
        <color theme="0"/>
        <rFont val="Calibri"/>
        <family val="2"/>
        <scheme val="minor"/>
      </rPr>
      <t>√</t>
    </r>
    <r>
      <rPr>
        <sz val="16"/>
        <color theme="0"/>
        <rFont val="Calibri"/>
        <family val="2"/>
        <scheme val="minor"/>
      </rPr>
      <t xml:space="preserve"> V</t>
    </r>
    <r>
      <rPr>
        <vertAlign val="subscript"/>
        <sz val="16"/>
        <color theme="0"/>
        <rFont val="Calibri"/>
        <family val="2"/>
        <scheme val="minor"/>
      </rPr>
      <t>W</t>
    </r>
    <r>
      <rPr>
        <sz val="16"/>
        <color theme="0"/>
        <rFont val="Calibri"/>
        <family val="2"/>
        <scheme val="minor"/>
      </rPr>
      <t xml:space="preserve"> + V</t>
    </r>
    <r>
      <rPr>
        <vertAlign val="subscript"/>
        <sz val="16"/>
        <color theme="0"/>
        <rFont val="Calibri"/>
        <family val="2"/>
        <scheme val="minor"/>
      </rPr>
      <t>B</t>
    </r>
  </si>
  <si>
    <r>
      <rPr>
        <sz val="18"/>
        <color theme="1"/>
        <rFont val="Calibri"/>
        <family val="2"/>
        <scheme val="minor"/>
      </rPr>
      <t>S</t>
    </r>
    <r>
      <rPr>
        <vertAlign val="subscript"/>
        <sz val="18"/>
        <color theme="1"/>
        <rFont val="Calibri"/>
        <family val="2"/>
        <scheme val="minor"/>
      </rPr>
      <t>B</t>
    </r>
    <r>
      <rPr>
        <vertAlign val="subscript"/>
        <sz val="11"/>
        <color theme="1"/>
        <rFont val="Calibri"/>
        <family val="2"/>
        <scheme val="minor"/>
      </rPr>
      <t xml:space="preserve"> </t>
    </r>
    <r>
      <rPr>
        <sz val="11"/>
        <color theme="1"/>
        <rFont val="Calibri"/>
        <family val="2"/>
        <scheme val="minor"/>
      </rPr>
      <t xml:space="preserve">  =       </t>
    </r>
    <r>
      <rPr>
        <sz val="22"/>
        <color theme="1"/>
        <rFont val="Calibri"/>
        <family val="2"/>
        <scheme val="minor"/>
      </rPr>
      <t>√</t>
    </r>
    <r>
      <rPr>
        <sz val="11"/>
        <color theme="1"/>
        <rFont val="Calibri"/>
        <family val="2"/>
        <scheme val="minor"/>
      </rPr>
      <t xml:space="preserve"> </t>
    </r>
    <r>
      <rPr>
        <sz val="16"/>
        <color theme="1"/>
        <rFont val="Calibri"/>
        <family val="2"/>
        <scheme val="minor"/>
      </rPr>
      <t>V</t>
    </r>
    <r>
      <rPr>
        <vertAlign val="subscript"/>
        <sz val="16"/>
        <color theme="1"/>
        <rFont val="Calibri"/>
        <family val="2"/>
        <scheme val="minor"/>
      </rPr>
      <t>B</t>
    </r>
    <r>
      <rPr>
        <sz val="11"/>
        <color theme="1"/>
        <rFont val="Calibri"/>
        <family val="2"/>
        <scheme val="minor"/>
      </rPr>
      <t xml:space="preserve">                              </t>
    </r>
  </si>
  <si>
    <r>
      <rPr>
        <sz val="18"/>
        <color theme="1"/>
        <rFont val="Calibri"/>
        <family val="2"/>
        <scheme val="minor"/>
      </rPr>
      <t>S</t>
    </r>
    <r>
      <rPr>
        <vertAlign val="subscript"/>
        <sz val="18"/>
        <color theme="1"/>
        <rFont val="Calibri"/>
        <family val="2"/>
        <scheme val="minor"/>
      </rPr>
      <t>R</t>
    </r>
    <r>
      <rPr>
        <sz val="11"/>
        <color theme="1"/>
        <rFont val="Calibri"/>
        <family val="2"/>
        <scheme val="minor"/>
      </rPr>
      <t xml:space="preserve">   =       </t>
    </r>
    <r>
      <rPr>
        <sz val="22"/>
        <color theme="1"/>
        <rFont val="Calibri"/>
        <family val="2"/>
        <scheme val="minor"/>
      </rPr>
      <t>√</t>
    </r>
    <r>
      <rPr>
        <sz val="11"/>
        <color theme="1"/>
        <rFont val="Calibri"/>
        <family val="2"/>
        <scheme val="minor"/>
      </rPr>
      <t xml:space="preserve"> </t>
    </r>
    <r>
      <rPr>
        <sz val="16"/>
        <color theme="1"/>
        <rFont val="Calibri"/>
        <family val="2"/>
        <scheme val="minor"/>
      </rPr>
      <t>V</t>
    </r>
    <r>
      <rPr>
        <vertAlign val="subscript"/>
        <sz val="16"/>
        <color theme="1"/>
        <rFont val="Calibri"/>
        <family val="2"/>
        <scheme val="minor"/>
      </rPr>
      <t>W</t>
    </r>
    <r>
      <rPr>
        <sz val="11"/>
        <color theme="1"/>
        <rFont val="Calibri"/>
        <family val="2"/>
        <scheme val="minor"/>
      </rPr>
      <t xml:space="preserve">                              </t>
    </r>
  </si>
  <si>
    <r>
      <t>SS</t>
    </r>
    <r>
      <rPr>
        <b/>
        <vertAlign val="subscript"/>
        <sz val="18"/>
        <color theme="0"/>
        <rFont val="Calibri"/>
        <family val="2"/>
        <scheme val="minor"/>
      </rPr>
      <t>T</t>
    </r>
  </si>
  <si>
    <r>
      <t>Cálculo SS</t>
    </r>
    <r>
      <rPr>
        <b/>
        <vertAlign val="subscript"/>
        <sz val="16"/>
        <color theme="0"/>
        <rFont val="Calibri"/>
        <family val="2"/>
        <scheme val="minor"/>
      </rPr>
      <t>1</t>
    </r>
  </si>
  <si>
    <r>
      <t>Varianza de la Repetibilidad, Within - run:    SR</t>
    </r>
    <r>
      <rPr>
        <vertAlign val="superscript"/>
        <sz val="16"/>
        <color theme="0"/>
        <rFont val="Calibri"/>
        <family val="2"/>
        <scheme val="minor"/>
      </rPr>
      <t>2</t>
    </r>
    <r>
      <rPr>
        <sz val="16"/>
        <color theme="0"/>
        <rFont val="Calibri"/>
        <family val="2"/>
        <scheme val="minor"/>
      </rPr>
      <t xml:space="preserve">  =  V</t>
    </r>
    <r>
      <rPr>
        <vertAlign val="subscript"/>
        <sz val="16"/>
        <color theme="0"/>
        <rFont val="Calibri"/>
        <family val="2"/>
        <scheme val="minor"/>
      </rPr>
      <t>W</t>
    </r>
    <r>
      <rPr>
        <sz val="16"/>
        <color theme="0"/>
        <rFont val="Calibri"/>
        <family val="2"/>
        <scheme val="minor"/>
      </rPr>
      <t xml:space="preserve">  =  MS</t>
    </r>
    <r>
      <rPr>
        <vertAlign val="subscript"/>
        <sz val="16"/>
        <color theme="0"/>
        <rFont val="Calibri"/>
        <family val="2"/>
        <scheme val="minor"/>
      </rPr>
      <t>2</t>
    </r>
  </si>
  <si>
    <r>
      <t>SS</t>
    </r>
    <r>
      <rPr>
        <vertAlign val="subscript"/>
        <sz val="12"/>
        <color theme="0"/>
        <rFont val="Calibri"/>
        <family val="2"/>
        <scheme val="minor"/>
      </rPr>
      <t>1</t>
    </r>
  </si>
  <si>
    <r>
      <t>SS</t>
    </r>
    <r>
      <rPr>
        <vertAlign val="subscript"/>
        <sz val="12"/>
        <rFont val="Calibri"/>
        <family val="2"/>
        <scheme val="minor"/>
      </rPr>
      <t>2</t>
    </r>
  </si>
  <si>
    <r>
      <t>SS</t>
    </r>
    <r>
      <rPr>
        <vertAlign val="subscript"/>
        <sz val="11"/>
        <rFont val="Calibri"/>
        <family val="2"/>
        <scheme val="minor"/>
      </rPr>
      <t>TOTAL</t>
    </r>
  </si>
  <si>
    <r>
      <t>Varianza Total:   SS</t>
    </r>
    <r>
      <rPr>
        <vertAlign val="subscript"/>
        <sz val="18"/>
        <color theme="0"/>
        <rFont val="Calibri"/>
        <family val="2"/>
        <scheme val="minor"/>
      </rPr>
      <t>T</t>
    </r>
  </si>
  <si>
    <r>
      <t xml:space="preserve">Varianza entre corridas, Between - run: </t>
    </r>
    <r>
      <rPr>
        <sz val="18"/>
        <color theme="0"/>
        <rFont val="Calibri"/>
        <family val="2"/>
        <scheme val="minor"/>
      </rPr>
      <t>V</t>
    </r>
    <r>
      <rPr>
        <vertAlign val="subscript"/>
        <sz val="18"/>
        <color theme="0"/>
        <rFont val="Calibri"/>
        <family val="2"/>
        <scheme val="minor"/>
      </rPr>
      <t>B</t>
    </r>
  </si>
  <si>
    <r>
      <t xml:space="preserve"> Varianza Imprecisión entre corridas </t>
    </r>
    <r>
      <rPr>
        <sz val="18"/>
        <rFont val="Calibri"/>
        <family val="2"/>
        <scheme val="minor"/>
      </rPr>
      <t>S</t>
    </r>
    <r>
      <rPr>
        <vertAlign val="superscript"/>
        <sz val="18"/>
        <rFont val="Calibri"/>
        <family val="2"/>
        <scheme val="minor"/>
      </rPr>
      <t>2</t>
    </r>
    <r>
      <rPr>
        <vertAlign val="subscript"/>
        <sz val="18"/>
        <rFont val="Calibri"/>
        <family val="2"/>
        <scheme val="minor"/>
      </rPr>
      <t>B</t>
    </r>
  </si>
  <si>
    <r>
      <t xml:space="preserve">Desvío estándar Imprecisión Entre corridas </t>
    </r>
    <r>
      <rPr>
        <sz val="18"/>
        <rFont val="Calibri"/>
        <family val="2"/>
        <scheme val="minor"/>
      </rPr>
      <t>S</t>
    </r>
    <r>
      <rPr>
        <vertAlign val="subscript"/>
        <sz val="18"/>
        <rFont val="Calibri"/>
        <family val="2"/>
        <scheme val="minor"/>
      </rPr>
      <t>B</t>
    </r>
    <r>
      <rPr>
        <sz val="11"/>
        <rFont val="Calibri"/>
        <family val="2"/>
        <scheme val="minor"/>
      </rPr>
      <t xml:space="preserve">  =</t>
    </r>
  </si>
  <si>
    <t>BT - BU</t>
  </si>
  <si>
    <t>En Infolab</t>
  </si>
  <si>
    <t>cuando  Bc en equipo = 0, BU debe ser = BT, calcular</t>
  </si>
  <si>
    <t>cuando  Bc en equipo = 0, BU debe ser = BT - BC real, calcular</t>
  </si>
  <si>
    <t>BC :</t>
  </si>
  <si>
    <t>BC real:</t>
  </si>
  <si>
    <t>Cálculo  Bc Vitros 4600</t>
  </si>
  <si>
    <t>Fecha / Corrida</t>
  </si>
  <si>
    <r>
      <t xml:space="preserve">        x</t>
    </r>
    <r>
      <rPr>
        <vertAlign val="subscript"/>
        <sz val="12"/>
        <rFont val="Arial"/>
        <family val="2"/>
      </rPr>
      <t>m</t>
    </r>
    <r>
      <rPr>
        <sz val="12"/>
        <rFont val="Arial"/>
        <family val="2"/>
      </rPr>
      <t xml:space="preserve"> =       i           i=1</t>
    </r>
  </si>
  <si>
    <t>Plataforma Instrumental</t>
  </si>
  <si>
    <t xml:space="preserve">% Error Total permitido </t>
  </si>
  <si>
    <t>R311216</t>
  </si>
  <si>
    <t>31/12/20016</t>
  </si>
  <si>
    <t>C311216</t>
  </si>
  <si>
    <t>Lote Material</t>
  </si>
  <si>
    <t>Vencimiento Material</t>
  </si>
  <si>
    <t>Reporte Concentración</t>
  </si>
  <si>
    <t>Reporte Interlaboratorio</t>
  </si>
  <si>
    <t>Nombre del                            Material de Control</t>
  </si>
  <si>
    <t>Corrida I</t>
  </si>
  <si>
    <t>Réplica 3 (X3)</t>
  </si>
  <si>
    <t>Réplica 4 (X4)</t>
  </si>
  <si>
    <t>Réplica 5 (X5)</t>
  </si>
  <si>
    <t xml:space="preserve">Fecha: </t>
  </si>
  <si>
    <t>Corrida II</t>
  </si>
  <si>
    <t>Réplica 1 (X6)</t>
  </si>
  <si>
    <t>Réplica 2 (X7)</t>
  </si>
  <si>
    <t>Réplica 3 (X8)</t>
  </si>
  <si>
    <t>Réplica 4 (X9)</t>
  </si>
  <si>
    <t>Réplica 5 (X10)</t>
  </si>
  <si>
    <t>Corrida III</t>
  </si>
  <si>
    <t>Réplica 1 (X11)</t>
  </si>
  <si>
    <t>Réplica 2 (X12)</t>
  </si>
  <si>
    <t>Réplica 3 (X13)</t>
  </si>
  <si>
    <t>Réplica 4 (X14)</t>
  </si>
  <si>
    <t>Réplica 5 (X15)</t>
  </si>
  <si>
    <t>Réplica 1 (X16)</t>
  </si>
  <si>
    <t>Réplica 2 (X17)</t>
  </si>
  <si>
    <t>Réplica 3 (X18)</t>
  </si>
  <si>
    <t>Réplica 4 (X19)</t>
  </si>
  <si>
    <t>Réplica 5 (X20)</t>
  </si>
  <si>
    <t>Corrida IV</t>
  </si>
  <si>
    <t>Corrida V</t>
  </si>
  <si>
    <t>Réplica 1 (X21)</t>
  </si>
  <si>
    <t>Réplica 2 (X22)</t>
  </si>
  <si>
    <t>Réplica 3 (X23)</t>
  </si>
  <si>
    <t>Réplica 4 (X24)</t>
  </si>
  <si>
    <t>Réplica 5 (X25)</t>
  </si>
  <si>
    <t>IL 010117</t>
  </si>
  <si>
    <t>ug/L</t>
  </si>
  <si>
    <t xml:space="preserve">                        n         25</t>
  </si>
  <si>
    <t xml:space="preserve">                       n          25</t>
  </si>
  <si>
    <r>
      <t xml:space="preserve"> Impresición Intralaboratorio          </t>
    </r>
    <r>
      <rPr>
        <sz val="18"/>
        <color theme="0"/>
        <rFont val="Calibri"/>
        <family val="2"/>
        <scheme val="minor"/>
      </rPr>
      <t>S</t>
    </r>
    <r>
      <rPr>
        <vertAlign val="subscript"/>
        <sz val="18"/>
        <color theme="0"/>
        <rFont val="Calibri"/>
        <family val="2"/>
        <scheme val="minor"/>
      </rPr>
      <t>WL</t>
    </r>
    <r>
      <rPr>
        <sz val="11"/>
        <color theme="0"/>
        <rFont val="Calibri"/>
        <family val="2"/>
        <scheme val="minor"/>
      </rPr>
      <t xml:space="preserve">  =</t>
    </r>
  </si>
  <si>
    <t>nRun</t>
  </si>
  <si>
    <t>Número de Corridas (nRun)</t>
  </si>
  <si>
    <t>nRep - 1</t>
  </si>
  <si>
    <t>nRep</t>
  </si>
  <si>
    <r>
      <t xml:space="preserve"> S</t>
    </r>
    <r>
      <rPr>
        <vertAlign val="superscript"/>
        <sz val="14"/>
        <rFont val="Arial"/>
        <family val="2"/>
      </rPr>
      <t>2</t>
    </r>
    <r>
      <rPr>
        <vertAlign val="subscript"/>
        <sz val="14"/>
        <rFont val="Arial"/>
        <family val="2"/>
      </rPr>
      <t xml:space="preserve">WL    </t>
    </r>
    <r>
      <rPr>
        <vertAlign val="subscript"/>
        <sz val="16"/>
        <rFont val="Arial"/>
        <family val="2"/>
      </rPr>
      <t xml:space="preserve"> -</t>
    </r>
  </si>
  <si>
    <r>
      <t xml:space="preserve"> S</t>
    </r>
    <r>
      <rPr>
        <vertAlign val="superscript"/>
        <sz val="14"/>
        <rFont val="Arial"/>
        <family val="2"/>
      </rPr>
      <t>2</t>
    </r>
    <r>
      <rPr>
        <vertAlign val="subscript"/>
        <sz val="14"/>
        <rFont val="Arial"/>
        <family val="2"/>
      </rPr>
      <t>R</t>
    </r>
  </si>
  <si>
    <t>Número de Réplicas por día (nRep)</t>
  </si>
  <si>
    <r>
      <t xml:space="preserve">E total </t>
    </r>
    <r>
      <rPr>
        <vertAlign val="subscript"/>
        <sz val="12"/>
        <rFont val="Calibri"/>
        <family val="2"/>
        <scheme val="minor"/>
      </rPr>
      <t xml:space="preserve">máximo </t>
    </r>
    <r>
      <rPr>
        <sz val="12"/>
        <rFont val="Calibri"/>
        <family val="2"/>
        <scheme val="minor"/>
      </rPr>
      <t>%</t>
    </r>
  </si>
  <si>
    <r>
      <t>Concentración Et</t>
    </r>
    <r>
      <rPr>
        <vertAlign val="subscript"/>
        <sz val="12"/>
        <rFont val="Calibri"/>
        <family val="2"/>
        <scheme val="minor"/>
      </rPr>
      <t>Max</t>
    </r>
  </si>
  <si>
    <t>Interlaboratorio              1 - 2 - 3</t>
  </si>
  <si>
    <r>
      <t>Cálculo del Error Estándar de la Media Se</t>
    </r>
    <r>
      <rPr>
        <vertAlign val="subscript"/>
        <sz val="12"/>
        <rFont val="Calibri"/>
        <family val="2"/>
        <scheme val="minor"/>
      </rPr>
      <t xml:space="preserve">x,    </t>
    </r>
    <r>
      <rPr>
        <sz val="12"/>
        <rFont val="Calibri"/>
        <family val="2"/>
        <scheme val="minor"/>
      </rPr>
      <t>Considera S</t>
    </r>
    <r>
      <rPr>
        <vertAlign val="superscript"/>
        <sz val="12"/>
        <rFont val="Calibri"/>
        <family val="2"/>
        <scheme val="minor"/>
      </rPr>
      <t>2</t>
    </r>
    <r>
      <rPr>
        <vertAlign val="subscript"/>
        <sz val="12"/>
        <rFont val="Calibri"/>
        <family val="2"/>
        <scheme val="minor"/>
      </rPr>
      <t xml:space="preserve">R, </t>
    </r>
    <r>
      <rPr>
        <sz val="12"/>
        <rFont val="Calibri"/>
        <family val="2"/>
        <scheme val="minor"/>
      </rPr>
      <t>S</t>
    </r>
    <r>
      <rPr>
        <vertAlign val="superscript"/>
        <sz val="12"/>
        <rFont val="Calibri"/>
        <family val="2"/>
        <scheme val="minor"/>
      </rPr>
      <t>2</t>
    </r>
    <r>
      <rPr>
        <vertAlign val="subscript"/>
        <sz val="12"/>
        <rFont val="Calibri"/>
        <family val="2"/>
        <scheme val="minor"/>
      </rPr>
      <t>WL,</t>
    </r>
    <r>
      <rPr>
        <sz val="12"/>
        <rFont val="Calibri"/>
        <family val="2"/>
        <scheme val="minor"/>
      </rPr>
      <t xml:space="preserve"> N corridas, N replicados</t>
    </r>
  </si>
  <si>
    <r>
      <t xml:space="preserve">       Se</t>
    </r>
    <r>
      <rPr>
        <vertAlign val="subscript"/>
        <sz val="14"/>
        <rFont val="Calibri"/>
        <family val="2"/>
        <scheme val="minor"/>
      </rPr>
      <t>x</t>
    </r>
    <r>
      <rPr>
        <vertAlign val="subscript"/>
        <sz val="12"/>
        <rFont val="Calibri"/>
        <family val="2"/>
        <scheme val="minor"/>
      </rPr>
      <t xml:space="preserve">   </t>
    </r>
    <r>
      <rPr>
        <sz val="12"/>
        <rFont val="Calibri"/>
        <family val="2"/>
        <scheme val="minor"/>
      </rPr>
      <t xml:space="preserve"> =     </t>
    </r>
  </si>
  <si>
    <r>
      <t>Cálculo Incertidumbre Estándar Material de Referencia (Se</t>
    </r>
    <r>
      <rPr>
        <vertAlign val="subscript"/>
        <sz val="12"/>
        <rFont val="Calibri"/>
        <family val="2"/>
        <scheme val="minor"/>
      </rPr>
      <t>RM</t>
    </r>
    <r>
      <rPr>
        <sz val="12"/>
        <rFont val="Calibri"/>
        <family val="2"/>
        <scheme val="minor"/>
      </rPr>
      <t>) (Error estándar del valor verdadero, TV)</t>
    </r>
  </si>
  <si>
    <r>
      <t>Se</t>
    </r>
    <r>
      <rPr>
        <vertAlign val="subscript"/>
        <sz val="16"/>
        <rFont val="Calibri"/>
        <family val="2"/>
        <scheme val="minor"/>
      </rPr>
      <t xml:space="preserve">x   </t>
    </r>
    <r>
      <rPr>
        <sz val="16"/>
        <rFont val="Calibri"/>
        <family val="2"/>
        <scheme val="minor"/>
      </rPr>
      <t xml:space="preserve"> =     </t>
    </r>
  </si>
  <si>
    <r>
      <t>Se</t>
    </r>
    <r>
      <rPr>
        <vertAlign val="subscript"/>
        <sz val="16"/>
        <rFont val="Calibri"/>
        <family val="2"/>
        <scheme val="minor"/>
      </rPr>
      <t>RM</t>
    </r>
    <r>
      <rPr>
        <sz val="16"/>
        <rFont val="Calibri"/>
        <family val="2"/>
        <scheme val="minor"/>
      </rPr>
      <t xml:space="preserve"> =</t>
    </r>
  </si>
  <si>
    <r>
      <t>Se</t>
    </r>
    <r>
      <rPr>
        <vertAlign val="subscript"/>
        <sz val="16"/>
        <rFont val="Calibri"/>
        <family val="2"/>
        <scheme val="minor"/>
      </rPr>
      <t>C</t>
    </r>
    <r>
      <rPr>
        <sz val="16"/>
        <rFont val="Calibri"/>
        <family val="2"/>
        <scheme val="minor"/>
      </rPr>
      <t xml:space="preserve"> =</t>
    </r>
  </si>
  <si>
    <r>
      <rPr>
        <sz val="28"/>
        <rFont val="Calibri"/>
        <family val="2"/>
        <scheme val="minor"/>
      </rPr>
      <t>√</t>
    </r>
    <r>
      <rPr>
        <sz val="48"/>
        <rFont val="Calibri"/>
        <family val="2"/>
        <scheme val="minor"/>
      </rPr>
      <t xml:space="preserve"> </t>
    </r>
    <r>
      <rPr>
        <sz val="16"/>
        <rFont val="Calibri"/>
        <family val="2"/>
        <scheme val="minor"/>
      </rPr>
      <t xml:space="preserve"> (Se</t>
    </r>
    <r>
      <rPr>
        <vertAlign val="subscript"/>
        <sz val="16"/>
        <rFont val="Calibri"/>
        <family val="2"/>
        <scheme val="minor"/>
      </rPr>
      <t>X</t>
    </r>
    <r>
      <rPr>
        <sz val="16"/>
        <rFont val="Calibri"/>
        <family val="2"/>
        <scheme val="minor"/>
      </rPr>
      <t>)</t>
    </r>
    <r>
      <rPr>
        <vertAlign val="superscript"/>
        <sz val="16"/>
        <rFont val="Calibri"/>
        <family val="2"/>
        <scheme val="minor"/>
      </rPr>
      <t>2</t>
    </r>
    <r>
      <rPr>
        <sz val="16"/>
        <rFont val="Calibri"/>
        <family val="2"/>
        <scheme val="minor"/>
      </rPr>
      <t xml:space="preserve"> + (Se</t>
    </r>
    <r>
      <rPr>
        <vertAlign val="subscript"/>
        <sz val="16"/>
        <rFont val="Calibri"/>
        <family val="2"/>
        <scheme val="minor"/>
      </rPr>
      <t>RM</t>
    </r>
    <r>
      <rPr>
        <sz val="16"/>
        <rFont val="Calibri"/>
        <family val="2"/>
        <scheme val="minor"/>
      </rPr>
      <t>)</t>
    </r>
    <r>
      <rPr>
        <vertAlign val="superscript"/>
        <sz val="16"/>
        <rFont val="Calibri"/>
        <family val="2"/>
        <scheme val="minor"/>
      </rPr>
      <t>2</t>
    </r>
  </si>
  <si>
    <t>Valor Evaluado</t>
  </si>
  <si>
    <t>Calcular la incertidumbre del material de referencia (corresponde a la incertidumbre del valor evaluado)</t>
  </si>
  <si>
    <t>Calcular la incertidumbre de la media obtenida a través del experimento ( error estándar de la media)</t>
  </si>
  <si>
    <r>
      <rPr>
        <i/>
        <sz val="16"/>
        <rFont val="Calibri"/>
        <family val="2"/>
        <scheme val="minor"/>
      </rPr>
      <t>tau</t>
    </r>
    <r>
      <rPr>
        <sz val="16"/>
        <rFont val="Calibri"/>
        <family val="2"/>
        <scheme val="minor"/>
      </rPr>
      <t xml:space="preserve"> =</t>
    </r>
  </si>
  <si>
    <r>
      <t>Se</t>
    </r>
    <r>
      <rPr>
        <vertAlign val="subscript"/>
        <sz val="16"/>
        <rFont val="Calibri"/>
        <family val="2"/>
        <scheme val="minor"/>
      </rPr>
      <t>X</t>
    </r>
  </si>
  <si>
    <r>
      <t xml:space="preserve"> Se</t>
    </r>
    <r>
      <rPr>
        <vertAlign val="subscript"/>
        <sz val="16"/>
        <rFont val="Calibri"/>
        <family val="2"/>
        <scheme val="minor"/>
      </rPr>
      <t>RM</t>
    </r>
    <r>
      <rPr>
        <sz val="16"/>
        <rFont val="Calibri"/>
        <family val="2"/>
        <scheme val="minor"/>
      </rPr>
      <t/>
    </r>
  </si>
  <si>
    <r>
      <t>Número de Laboratorios participantes N</t>
    </r>
    <r>
      <rPr>
        <vertAlign val="subscript"/>
        <sz val="12"/>
        <rFont val="Calibri"/>
        <family val="2"/>
        <scheme val="minor"/>
      </rPr>
      <t>RM</t>
    </r>
  </si>
  <si>
    <t>10 Laboratorios</t>
  </si>
  <si>
    <t>20 Laboratorios</t>
  </si>
  <si>
    <t>50 Laboratorios</t>
  </si>
  <si>
    <t>100 Laboratorios</t>
  </si>
  <si>
    <t>200 Laboratorios</t>
  </si>
  <si>
    <t>tau</t>
  </si>
  <si>
    <t>dfc</t>
  </si>
  <si>
    <t>Infinito</t>
  </si>
  <si>
    <r>
      <t xml:space="preserve">Tabla 15A: </t>
    </r>
    <r>
      <rPr>
        <i/>
        <sz val="11"/>
        <color theme="1"/>
        <rFont val="Calibri"/>
        <family val="2"/>
        <scheme val="minor"/>
      </rPr>
      <t>dfc</t>
    </r>
    <r>
      <rPr>
        <sz val="12"/>
        <rFont val="Calibri"/>
        <family val="2"/>
        <scheme val="minor"/>
      </rPr>
      <t>,  grados de libertad para error estándar combinado de la media y valor verdadero como una función de la razón del error estándar del material de referencia y el error estándar de la media (tau= SeRM/SeX), para un experimento de 5 corridas con 5 replicados por corrida  y NRM = 10, 20, 50, 100 y más de 200 Laboratorios participantes.</t>
    </r>
  </si>
  <si>
    <r>
      <t>Calcular el valor "</t>
    </r>
    <r>
      <rPr>
        <b/>
        <i/>
        <sz val="12"/>
        <rFont val="Calibri"/>
        <family val="2"/>
        <scheme val="minor"/>
      </rPr>
      <t>tau</t>
    </r>
    <r>
      <rPr>
        <sz val="12"/>
        <rFont val="Calibri"/>
        <family val="2"/>
        <scheme val="minor"/>
      </rPr>
      <t>", que considera la Incertidumbre del Material de Referencia (Se</t>
    </r>
    <r>
      <rPr>
        <vertAlign val="subscript"/>
        <sz val="12"/>
        <rFont val="Calibri"/>
        <family val="2"/>
        <scheme val="minor"/>
      </rPr>
      <t>RM</t>
    </r>
    <r>
      <rPr>
        <sz val="12"/>
        <rFont val="Calibri"/>
        <family val="2"/>
        <scheme val="minor"/>
      </rPr>
      <t>) (Error estándar del valor verdadero, TV) y Error Estándar de la Media Se</t>
    </r>
    <r>
      <rPr>
        <vertAlign val="subscript"/>
        <sz val="14"/>
        <rFont val="Calibri"/>
        <family val="2"/>
        <scheme val="minor"/>
      </rPr>
      <t>x</t>
    </r>
  </si>
  <si>
    <t xml:space="preserve">Número de muestras Evaluadas </t>
  </si>
  <si>
    <t>Valor área bajo la curva de distribución de datos</t>
  </si>
  <si>
    <t xml:space="preserve">Número de muestra Evaluada </t>
  </si>
  <si>
    <t>1  -    0,025</t>
  </si>
  <si>
    <r>
      <t>Cálculo Incertidumbre Estándar Combinada Se</t>
    </r>
    <r>
      <rPr>
        <vertAlign val="subscript"/>
        <sz val="14"/>
        <rFont val="Calibri"/>
        <family val="2"/>
        <scheme val="minor"/>
      </rPr>
      <t>C</t>
    </r>
    <r>
      <rPr>
        <sz val="12"/>
        <rFont val="Calibri"/>
        <family val="2"/>
        <scheme val="minor"/>
      </rPr>
      <t xml:space="preserve"> del Material de Referencia (Se</t>
    </r>
    <r>
      <rPr>
        <vertAlign val="subscript"/>
        <sz val="12"/>
        <rFont val="Calibri"/>
        <family val="2"/>
        <scheme val="minor"/>
      </rPr>
      <t>RM</t>
    </r>
    <r>
      <rPr>
        <sz val="12"/>
        <rFont val="Calibri"/>
        <family val="2"/>
        <scheme val="minor"/>
      </rPr>
      <t>) (Error estándar del valor verdadero, TV) y Error Estándar de la Media Se</t>
    </r>
    <r>
      <rPr>
        <vertAlign val="subscript"/>
        <sz val="12"/>
        <rFont val="Calibri"/>
        <family val="2"/>
        <scheme val="minor"/>
      </rPr>
      <t>x</t>
    </r>
  </si>
  <si>
    <t>Construya el intervalo de verificación del valor evaluado (TV), con el que podrá verificar si el valor de la media, obtenido en el experimento de 5 corridas y 5 replicados diarios, se encuentra incluido en el intervalo obtenido</t>
  </si>
  <si>
    <t>Grados de libertad desde tabla 15A</t>
  </si>
  <si>
    <t>Construya el intervalo de verificación (IV) con la información obtenida anteriormente de acuerdo a la siguiente indicación</t>
  </si>
  <si>
    <r>
      <t>Se</t>
    </r>
    <r>
      <rPr>
        <vertAlign val="subscript"/>
        <sz val="16"/>
        <color theme="0"/>
        <rFont val="Calibri"/>
        <family val="2"/>
        <scheme val="minor"/>
      </rPr>
      <t>C</t>
    </r>
    <r>
      <rPr>
        <sz val="16"/>
        <color theme="0"/>
        <rFont val="Calibri"/>
        <family val="2"/>
        <scheme val="minor"/>
      </rPr>
      <t xml:space="preserve"> =</t>
    </r>
  </si>
  <si>
    <r>
      <t xml:space="preserve">IV </t>
    </r>
    <r>
      <rPr>
        <vertAlign val="subscript"/>
        <sz val="16"/>
        <color theme="0"/>
        <rFont val="Calibri"/>
        <family val="2"/>
        <scheme val="minor"/>
      </rPr>
      <t>95 % confianza</t>
    </r>
    <r>
      <rPr>
        <sz val="16"/>
        <color theme="0"/>
        <rFont val="Calibri"/>
        <family val="2"/>
        <scheme val="minor"/>
      </rPr>
      <t xml:space="preserve"> =  </t>
    </r>
  </si>
  <si>
    <t>Promedio Valor Experimento</t>
  </si>
  <si>
    <t>Resultado  Evaluación de la  Veracidad</t>
  </si>
  <si>
    <t>Si el valor obtenido se encuentra en el intervalo de verificación para el TV, el usuario ha demostrado la verificación de la veracidad estadística</t>
  </si>
  <si>
    <t>Evalúe si el promedio (media),obtenido en el experimento de 5 corridas y 5 replicados se encuentra en el intervalo de verificación del valor verdadero TV</t>
  </si>
  <si>
    <t>Información a introducir por el usuario</t>
  </si>
  <si>
    <t>Veracidad del Laboratorio</t>
  </si>
  <si>
    <r>
      <t xml:space="preserve">       </t>
    </r>
    <r>
      <rPr>
        <sz val="16"/>
        <rFont val="Arial"/>
        <family val="2"/>
      </rPr>
      <t>Se</t>
    </r>
    <r>
      <rPr>
        <vertAlign val="subscript"/>
        <sz val="16"/>
        <rFont val="Arial"/>
        <family val="2"/>
      </rPr>
      <t>x</t>
    </r>
    <r>
      <rPr>
        <vertAlign val="subscript"/>
        <sz val="12"/>
        <rFont val="Arial"/>
        <family val="2"/>
      </rPr>
      <t xml:space="preserve">  error estándar de la media  </t>
    </r>
    <r>
      <rPr>
        <sz val="12"/>
        <rFont val="Arial"/>
        <family val="2"/>
      </rPr>
      <t xml:space="preserve"> =     </t>
    </r>
  </si>
  <si>
    <t> 0.75</t>
  </si>
  <si>
    <t> 0.80</t>
  </si>
  <si>
    <t> 0.85</t>
  </si>
  <si>
    <t>0.90</t>
  </si>
  <si>
    <t> 0.95</t>
  </si>
  <si>
    <t> 0.975</t>
  </si>
  <si>
    <t>0.99</t>
  </si>
  <si>
    <t xml:space="preserve"> 0.995 </t>
  </si>
  <si>
    <t>  1</t>
  </si>
  <si>
    <t> 1.376</t>
  </si>
  <si>
    <t> 1.963</t>
  </si>
  <si>
    <t> 3.078</t>
  </si>
  <si>
    <t> 6.314</t>
  </si>
  <si>
    <t>  2</t>
  </si>
  <si>
    <t>0.816</t>
  </si>
  <si>
    <t> 1.061</t>
  </si>
  <si>
    <t> 1.386</t>
  </si>
  <si>
    <t> 1.886</t>
  </si>
  <si>
    <t> 2.920</t>
  </si>
  <si>
    <t> 4.303</t>
  </si>
  <si>
    <t> 6.965</t>
  </si>
  <si>
    <t> 9.925</t>
  </si>
  <si>
    <t>  3</t>
  </si>
  <si>
    <t>0.765</t>
  </si>
  <si>
    <t> 0.978</t>
  </si>
  <si>
    <t> 1.250</t>
  </si>
  <si>
    <t> 1.638</t>
  </si>
  <si>
    <t> 2.353</t>
  </si>
  <si>
    <t> 3.182</t>
  </si>
  <si>
    <t> 4.541</t>
  </si>
  <si>
    <t> 5.841</t>
  </si>
  <si>
    <t>  4</t>
  </si>
  <si>
    <t>0.741</t>
  </si>
  <si>
    <t> 0.941</t>
  </si>
  <si>
    <t> 1.190</t>
  </si>
  <si>
    <t> 1.533</t>
  </si>
  <si>
    <t> 2.132</t>
  </si>
  <si>
    <t> 2.776</t>
  </si>
  <si>
    <t> 3.747</t>
  </si>
  <si>
    <t> 4.604</t>
  </si>
  <si>
    <t>  5</t>
  </si>
  <si>
    <t>0.727</t>
  </si>
  <si>
    <t> 0.920</t>
  </si>
  <si>
    <t> 1.156</t>
  </si>
  <si>
    <t> 1.476</t>
  </si>
  <si>
    <t> 2.015</t>
  </si>
  <si>
    <t> 2.571</t>
  </si>
  <si>
    <t> 3.365</t>
  </si>
  <si>
    <t xml:space="preserve"> 4.032 </t>
  </si>
  <si>
    <t>  6</t>
  </si>
  <si>
    <t>0.718</t>
  </si>
  <si>
    <t> 0.906</t>
  </si>
  <si>
    <t> 1.134</t>
  </si>
  <si>
    <t> 1.440</t>
  </si>
  <si>
    <t> 1.943</t>
  </si>
  <si>
    <t> 2.447</t>
  </si>
  <si>
    <t> 3.143</t>
  </si>
  <si>
    <t xml:space="preserve"> 3.707 </t>
  </si>
  <si>
    <t>  7</t>
  </si>
  <si>
    <t>0.711</t>
  </si>
  <si>
    <t> 0.896</t>
  </si>
  <si>
    <t> 1.119</t>
  </si>
  <si>
    <t> 1.415</t>
  </si>
  <si>
    <t> 1.895</t>
  </si>
  <si>
    <t> 2.365</t>
  </si>
  <si>
    <t> 2.998</t>
  </si>
  <si>
    <t xml:space="preserve"> 3.499 </t>
  </si>
  <si>
    <t>  8</t>
  </si>
  <si>
    <t>0.706</t>
  </si>
  <si>
    <t> 0.889</t>
  </si>
  <si>
    <t> 1.108</t>
  </si>
  <si>
    <t> 1.397</t>
  </si>
  <si>
    <t> 1.860</t>
  </si>
  <si>
    <t> 2.306</t>
  </si>
  <si>
    <t> 2.896</t>
  </si>
  <si>
    <t xml:space="preserve"> 3.355 </t>
  </si>
  <si>
    <t>  9</t>
  </si>
  <si>
    <t>0.703</t>
  </si>
  <si>
    <t> 0.883</t>
  </si>
  <si>
    <t> 1.100</t>
  </si>
  <si>
    <t> 1.383</t>
  </si>
  <si>
    <t> 1.833</t>
  </si>
  <si>
    <t> 2.262</t>
  </si>
  <si>
    <t> 2.821</t>
  </si>
  <si>
    <t xml:space="preserve"> 3.250 </t>
  </si>
  <si>
    <t> 10</t>
  </si>
  <si>
    <t>0.700</t>
  </si>
  <si>
    <t> 0.879</t>
  </si>
  <si>
    <t> 1.093</t>
  </si>
  <si>
    <t> 1.372</t>
  </si>
  <si>
    <t> 1.812</t>
  </si>
  <si>
    <t> 2.228</t>
  </si>
  <si>
    <t> 2.764</t>
  </si>
  <si>
    <t xml:space="preserve"> 3.169 </t>
  </si>
  <si>
    <t> 11</t>
  </si>
  <si>
    <t>0.697</t>
  </si>
  <si>
    <t> 0.876</t>
  </si>
  <si>
    <t> 1.088</t>
  </si>
  <si>
    <t> 1.363</t>
  </si>
  <si>
    <t> 1.796</t>
  </si>
  <si>
    <t> 2.201</t>
  </si>
  <si>
    <t> 2.718</t>
  </si>
  <si>
    <t xml:space="preserve"> 3.106 </t>
  </si>
  <si>
    <t> 12</t>
  </si>
  <si>
    <t>0.695</t>
  </si>
  <si>
    <t> 0.873</t>
  </si>
  <si>
    <t> 1.083</t>
  </si>
  <si>
    <t> 1.356</t>
  </si>
  <si>
    <t> 1.782</t>
  </si>
  <si>
    <t> 2.179</t>
  </si>
  <si>
    <t> 2.681</t>
  </si>
  <si>
    <t xml:space="preserve"> 3.055 </t>
  </si>
  <si>
    <t> 13</t>
  </si>
  <si>
    <t>0.694</t>
  </si>
  <si>
    <t> 0.870</t>
  </si>
  <si>
    <t> 1.079</t>
  </si>
  <si>
    <t> 1.350</t>
  </si>
  <si>
    <t> 1.771</t>
  </si>
  <si>
    <t> 2.160</t>
  </si>
  <si>
    <t> 2.650</t>
  </si>
  <si>
    <t xml:space="preserve"> 3.012 </t>
  </si>
  <si>
    <t> 14</t>
  </si>
  <si>
    <t>0.692</t>
  </si>
  <si>
    <t> 0.868</t>
  </si>
  <si>
    <t> 1.076</t>
  </si>
  <si>
    <t> 1.345</t>
  </si>
  <si>
    <t> 1.761</t>
  </si>
  <si>
    <t> 2.145</t>
  </si>
  <si>
    <t> 2.624</t>
  </si>
  <si>
    <t xml:space="preserve"> 2.977 </t>
  </si>
  <si>
    <t> 15</t>
  </si>
  <si>
    <t>0.691</t>
  </si>
  <si>
    <t> 0.866</t>
  </si>
  <si>
    <t> 1.074</t>
  </si>
  <si>
    <t> 1.341</t>
  </si>
  <si>
    <t> 1.753</t>
  </si>
  <si>
    <t> 2.131</t>
  </si>
  <si>
    <t> 2.602</t>
  </si>
  <si>
    <t xml:space="preserve"> 2.947 </t>
  </si>
  <si>
    <t> 16</t>
  </si>
  <si>
    <t>0.690</t>
  </si>
  <si>
    <t> 0.865</t>
  </si>
  <si>
    <t> 1.071</t>
  </si>
  <si>
    <t> 1.337</t>
  </si>
  <si>
    <t> 1.746</t>
  </si>
  <si>
    <t> 2.120</t>
  </si>
  <si>
    <t> 2.583</t>
  </si>
  <si>
    <t xml:space="preserve"> 2.921 </t>
  </si>
  <si>
    <t> 17</t>
  </si>
  <si>
    <t>0.689</t>
  </si>
  <si>
    <t> 0.863</t>
  </si>
  <si>
    <t> 1.069</t>
  </si>
  <si>
    <t> 1.333</t>
  </si>
  <si>
    <t> 1.740</t>
  </si>
  <si>
    <t> 2.110</t>
  </si>
  <si>
    <t> 2.567</t>
  </si>
  <si>
    <t xml:space="preserve"> 2.898 </t>
  </si>
  <si>
    <t> 18</t>
  </si>
  <si>
    <t>0.688</t>
  </si>
  <si>
    <t> 0.862</t>
  </si>
  <si>
    <t> 1.067</t>
  </si>
  <si>
    <t> 1.330</t>
  </si>
  <si>
    <t> 1.734</t>
  </si>
  <si>
    <t> 2.101</t>
  </si>
  <si>
    <t> 2.552</t>
  </si>
  <si>
    <t xml:space="preserve"> 2.878 </t>
  </si>
  <si>
    <t> 19</t>
  </si>
  <si>
    <t> 0.861</t>
  </si>
  <si>
    <t> 1.066</t>
  </si>
  <si>
    <t> 1.328</t>
  </si>
  <si>
    <t> 1.729</t>
  </si>
  <si>
    <t> 2.093</t>
  </si>
  <si>
    <t> 2.539</t>
  </si>
  <si>
    <t xml:space="preserve"> 2.861 </t>
  </si>
  <si>
    <t> 20</t>
  </si>
  <si>
    <t>0.687</t>
  </si>
  <si>
    <t> 0.860</t>
  </si>
  <si>
    <t> 1.064</t>
  </si>
  <si>
    <t> 1.325</t>
  </si>
  <si>
    <t> 1.725</t>
  </si>
  <si>
    <t> 2.086</t>
  </si>
  <si>
    <t> 2.528</t>
  </si>
  <si>
    <t xml:space="preserve"> 2.845 </t>
  </si>
  <si>
    <t> 21</t>
  </si>
  <si>
    <t>0.686</t>
  </si>
  <si>
    <t> 0.859</t>
  </si>
  <si>
    <t> 1.063</t>
  </si>
  <si>
    <t> 1.323</t>
  </si>
  <si>
    <t> 1.721</t>
  </si>
  <si>
    <t> 2.080</t>
  </si>
  <si>
    <t> 2.518</t>
  </si>
  <si>
    <t xml:space="preserve"> 2.831 </t>
  </si>
  <si>
    <t> 22</t>
  </si>
  <si>
    <t> 0.858</t>
  </si>
  <si>
    <t> 1.321</t>
  </si>
  <si>
    <t> 1.717</t>
  </si>
  <si>
    <t> 2.074</t>
  </si>
  <si>
    <t> 2.508</t>
  </si>
  <si>
    <t xml:space="preserve"> 2.819 </t>
  </si>
  <si>
    <t> 23</t>
  </si>
  <si>
    <t>0.685</t>
  </si>
  <si>
    <t> 1.060</t>
  </si>
  <si>
    <t> 1.319</t>
  </si>
  <si>
    <t> 1.714</t>
  </si>
  <si>
    <t> 2.069</t>
  </si>
  <si>
    <t> 2.500</t>
  </si>
  <si>
    <t xml:space="preserve"> 2.807 </t>
  </si>
  <si>
    <t> 24</t>
  </si>
  <si>
    <t> 0.857</t>
  </si>
  <si>
    <t> 1.059</t>
  </si>
  <si>
    <t> 1.318</t>
  </si>
  <si>
    <t> 1.711</t>
  </si>
  <si>
    <t> 2.064</t>
  </si>
  <si>
    <t> 2.492</t>
  </si>
  <si>
    <t xml:space="preserve"> 2.797 </t>
  </si>
  <si>
    <t> 25</t>
  </si>
  <si>
    <t>0.684</t>
  </si>
  <si>
    <t> 0.856</t>
  </si>
  <si>
    <t> 1.058</t>
  </si>
  <si>
    <t> 1.316</t>
  </si>
  <si>
    <t> 1.708</t>
  </si>
  <si>
    <t> 2.060</t>
  </si>
  <si>
    <t> 2.485</t>
  </si>
  <si>
    <t xml:space="preserve"> 2.787 </t>
  </si>
  <si>
    <t> 26</t>
  </si>
  <si>
    <t> 1.315</t>
  </si>
  <si>
    <t> 1.706</t>
  </si>
  <si>
    <t> 2.056</t>
  </si>
  <si>
    <t> 2.479</t>
  </si>
  <si>
    <t xml:space="preserve"> 2.779 </t>
  </si>
  <si>
    <t> 27</t>
  </si>
  <si>
    <t> 0.855</t>
  </si>
  <si>
    <t> 1.057</t>
  </si>
  <si>
    <t> 1.314</t>
  </si>
  <si>
    <t> 1.703</t>
  </si>
  <si>
    <t> 2.052</t>
  </si>
  <si>
    <t> 2.473</t>
  </si>
  <si>
    <t> 2.771</t>
  </si>
  <si>
    <t> 28</t>
  </si>
  <si>
    <t>0.683</t>
  </si>
  <si>
    <t> 1.056</t>
  </si>
  <si>
    <t> 1.313</t>
  </si>
  <si>
    <t> 1.701</t>
  </si>
  <si>
    <t> 2.048</t>
  </si>
  <si>
    <t> 2.467</t>
  </si>
  <si>
    <t xml:space="preserve"> 2.763 </t>
  </si>
  <si>
    <t> 29</t>
  </si>
  <si>
    <t> 0.854</t>
  </si>
  <si>
    <t> 1.055</t>
  </si>
  <si>
    <t> 1.311</t>
  </si>
  <si>
    <t> 1.699</t>
  </si>
  <si>
    <t> 2.045</t>
  </si>
  <si>
    <t> 2.462</t>
  </si>
  <si>
    <t xml:space="preserve"> 2.756 </t>
  </si>
  <si>
    <t> 30</t>
  </si>
  <si>
    <t> 1.310</t>
  </si>
  <si>
    <t> 1.697</t>
  </si>
  <si>
    <t> 2.042</t>
  </si>
  <si>
    <t> 2.457</t>
  </si>
  <si>
    <t xml:space="preserve"> 2.750 </t>
  </si>
  <si>
    <t> 40</t>
  </si>
  <si>
    <t>0.681</t>
  </si>
  <si>
    <t> 0.851</t>
  </si>
  <si>
    <t> 1.050</t>
  </si>
  <si>
    <t> 1.303</t>
  </si>
  <si>
    <t> 1.684</t>
  </si>
  <si>
    <t> 2.021</t>
  </si>
  <si>
    <t> 2.423</t>
  </si>
  <si>
    <t xml:space="preserve"> 2.704 </t>
  </si>
  <si>
    <t> 60</t>
  </si>
  <si>
    <t>0.679</t>
  </si>
  <si>
    <t> 0.848</t>
  </si>
  <si>
    <t> 1.046</t>
  </si>
  <si>
    <t> 1.296</t>
  </si>
  <si>
    <t> 1.671</t>
  </si>
  <si>
    <t> 2.000</t>
  </si>
  <si>
    <t> 2.390</t>
  </si>
  <si>
    <t xml:space="preserve"> 2.660 </t>
  </si>
  <si>
    <t>0.677</t>
  </si>
  <si>
    <t> 0.845</t>
  </si>
  <si>
    <t> 1.041</t>
  </si>
  <si>
    <t> 1.289</t>
  </si>
  <si>
    <t> 1.658</t>
  </si>
  <si>
    <t> 1.980</t>
  </si>
  <si>
    <t> 2.358</t>
  </si>
  <si>
    <t xml:space="preserve"> 2.617 </t>
  </si>
  <si>
    <t>0.674</t>
  </si>
  <si>
    <t> 0.842</t>
  </si>
  <si>
    <t> 1.036</t>
  </si>
  <si>
    <t> 1.282</t>
  </si>
  <si>
    <t> 1.645</t>
  </si>
  <si>
    <t> 1.960</t>
  </si>
  <si>
    <t> 2.326</t>
  </si>
  <si>
    <t xml:space="preserve"> 2.576 </t>
  </si>
  <si>
    <t>Tabla de Distribución T - Student</t>
  </si>
  <si>
    <t>  r</t>
  </si>
  <si>
    <t xml:space="preserve"> ¥ </t>
  </si>
  <si>
    <r>
      <t xml:space="preserve">La tabla de áreas  1 -α  y valores </t>
    </r>
    <r>
      <rPr>
        <sz val="12"/>
        <color theme="0"/>
        <rFont val="Calibri"/>
        <family val="2"/>
        <scheme val="minor"/>
      </rPr>
      <t>C</t>
    </r>
    <r>
      <rPr>
        <sz val="11"/>
        <color theme="0"/>
        <rFont val="Calibri"/>
        <family val="2"/>
        <scheme val="minor"/>
      </rPr>
      <t xml:space="preserve"> =  </t>
    </r>
    <r>
      <rPr>
        <sz val="14"/>
        <color theme="0"/>
        <rFont val="Calibri"/>
        <family val="2"/>
        <scheme val="minor"/>
      </rPr>
      <t>t</t>
    </r>
    <r>
      <rPr>
        <sz val="11"/>
        <color theme="0"/>
        <rFont val="Calibri"/>
        <family val="2"/>
        <scheme val="minor"/>
      </rPr>
      <t xml:space="preserve"> </t>
    </r>
    <r>
      <rPr>
        <vertAlign val="subscript"/>
        <sz val="12"/>
        <color theme="0"/>
        <rFont val="Calibri"/>
        <family val="2"/>
        <scheme val="minor"/>
      </rPr>
      <t>1-α, v</t>
    </r>
    <r>
      <rPr>
        <sz val="11"/>
        <color theme="0"/>
        <rFont val="Calibri"/>
        <family val="2"/>
        <scheme val="minor"/>
      </rPr>
      <t>, donde P (T &lt; c) = 1 -α, y donde T tiene distribución t-student con v grados de libertad</t>
    </r>
  </si>
  <si>
    <t>Incertidumbre Combinada Expandida:</t>
  </si>
  <si>
    <t>Factor K para Incertidumbre Expandida</t>
  </si>
  <si>
    <t>Incertidumbre Combinada Expandida =</t>
  </si>
  <si>
    <t>Valor superior IV - Valor inferior IV</t>
  </si>
  <si>
    <t>Resultado Evaluación:</t>
  </si>
  <si>
    <t>Esta evaluación debe ser considerando la incertidumbre del intervalo de verificación obtenido, para ello calcular la incertidumbre máxima expandida y compararla con el requisito de calidad máximo aceptable para error sistemático, de acuerdo al presupuesto establecido para Error Sistemático</t>
  </si>
  <si>
    <t>Esta evaluación debe ser considerando el sesgo obtenido en concentración. Compararlo con el requisito de calidad máximo aceptable para error sistemático en concentración, de acuerdo al presupuesto establecido para Error Sistemático</t>
  </si>
  <si>
    <r>
      <t xml:space="preserve">Requisito de Calidad; E total </t>
    </r>
    <r>
      <rPr>
        <vertAlign val="subscript"/>
        <sz val="12"/>
        <color theme="0"/>
        <rFont val="Calibri"/>
        <family val="2"/>
        <scheme val="minor"/>
      </rPr>
      <t xml:space="preserve">máximo </t>
    </r>
    <r>
      <rPr>
        <sz val="12"/>
        <color theme="0"/>
        <rFont val="Calibri"/>
        <family val="2"/>
        <scheme val="minor"/>
      </rPr>
      <t>%</t>
    </r>
  </si>
  <si>
    <t>Sesgo Obtenido en concentración</t>
  </si>
  <si>
    <t>Media obtenida - Valor Evaluado</t>
  </si>
  <si>
    <t>Media Obtenida en el experimento</t>
  </si>
  <si>
    <t>Sesgo</t>
  </si>
  <si>
    <t>Sesgo Obtenido en %</t>
  </si>
  <si>
    <t>Sesgo Máximo Permitido ( 50 % presupuesto del Requisito de Calidad para Error Sistemático), en concentración</t>
  </si>
  <si>
    <t>Sesgo Máximo Permitido ( 50 % presupuesto del Requisito de Calidad para Error Sistemático) en porcentaje(%)</t>
  </si>
  <si>
    <t xml:space="preserve">Sesgo % </t>
  </si>
  <si>
    <t>Verificación del Desempeño de la Precisión y Veracidad               por el Usuario</t>
  </si>
  <si>
    <r>
      <t xml:space="preserve">Varianza Impresición Intralaboratorio          </t>
    </r>
    <r>
      <rPr>
        <sz val="18"/>
        <color theme="0"/>
        <rFont val="Calibri"/>
        <family val="2"/>
        <scheme val="minor"/>
      </rPr>
      <t>S</t>
    </r>
    <r>
      <rPr>
        <vertAlign val="superscript"/>
        <sz val="18"/>
        <color theme="0"/>
        <rFont val="Calibri"/>
        <family val="2"/>
        <scheme val="minor"/>
      </rPr>
      <t>2</t>
    </r>
    <r>
      <rPr>
        <vertAlign val="subscript"/>
        <sz val="18"/>
        <color theme="0"/>
        <rFont val="Calibri"/>
        <family val="2"/>
        <scheme val="minor"/>
      </rPr>
      <t>WL</t>
    </r>
    <r>
      <rPr>
        <sz val="11"/>
        <color theme="0"/>
        <rFont val="Calibri"/>
        <family val="2"/>
        <scheme val="minor"/>
      </rPr>
      <t xml:space="preserve">  =</t>
    </r>
  </si>
  <si>
    <r>
      <t xml:space="preserve">Varianza de la Repetibilidad    </t>
    </r>
    <r>
      <rPr>
        <sz val="16"/>
        <rFont val="Calibri"/>
        <family val="2"/>
        <scheme val="minor"/>
      </rPr>
      <t>S</t>
    </r>
    <r>
      <rPr>
        <vertAlign val="superscript"/>
        <sz val="16"/>
        <rFont val="Calibri"/>
        <family val="2"/>
        <scheme val="minor"/>
      </rPr>
      <t>2</t>
    </r>
    <r>
      <rPr>
        <vertAlign val="subscript"/>
        <sz val="16"/>
        <rFont val="Calibri"/>
        <family val="2"/>
        <scheme val="minor"/>
      </rPr>
      <t>R</t>
    </r>
  </si>
  <si>
    <r>
      <t xml:space="preserve">Varianza precisión Intermedia </t>
    </r>
    <r>
      <rPr>
        <sz val="16"/>
        <rFont val="Calibri"/>
        <family val="2"/>
        <scheme val="minor"/>
      </rPr>
      <t>S</t>
    </r>
    <r>
      <rPr>
        <vertAlign val="superscript"/>
        <sz val="16"/>
        <rFont val="Calibri"/>
        <family val="2"/>
        <scheme val="minor"/>
      </rPr>
      <t>2</t>
    </r>
    <r>
      <rPr>
        <vertAlign val="subscript"/>
        <sz val="16"/>
        <rFont val="Calibri"/>
        <family val="2"/>
        <scheme val="minor"/>
      </rPr>
      <t>WL</t>
    </r>
  </si>
  <si>
    <r>
      <t>Error Sistemático permitido</t>
    </r>
    <r>
      <rPr>
        <sz val="10"/>
        <rFont val="Calibri"/>
        <family val="2"/>
        <scheme val="minor"/>
      </rPr>
      <t xml:space="preserve"> (concentración)</t>
    </r>
  </si>
  <si>
    <t>Error Sistemático permitido (%)</t>
  </si>
  <si>
    <r>
      <t>Se</t>
    </r>
    <r>
      <rPr>
        <vertAlign val="subscript"/>
        <sz val="14"/>
        <color theme="1"/>
        <rFont val="Calibri"/>
        <family val="2"/>
        <scheme val="minor"/>
      </rPr>
      <t>RM</t>
    </r>
  </si>
  <si>
    <r>
      <t>Se</t>
    </r>
    <r>
      <rPr>
        <vertAlign val="subscript"/>
        <sz val="14"/>
        <color theme="1"/>
        <rFont val="Calibri"/>
        <family val="2"/>
        <scheme val="minor"/>
      </rPr>
      <t>x</t>
    </r>
    <r>
      <rPr>
        <sz val="14"/>
        <color theme="1"/>
        <rFont val="Calibri"/>
        <family val="2"/>
        <scheme val="minor"/>
      </rPr>
      <t xml:space="preserve"> </t>
    </r>
  </si>
  <si>
    <r>
      <t>El uso de la probabilidad 0,975para intervalos de confianza del 95 % es útil cuando se trata de "una" (1) muestra evaluada. Para experimentos con mayor número de muestras a evaluar y para poder mantener el intervalo de confianza,  la probabilidad está dada por: 1 - (Alfa/2/n</t>
    </r>
    <r>
      <rPr>
        <vertAlign val="subscript"/>
        <sz val="12"/>
        <color theme="0"/>
        <rFont val="Calibri"/>
        <family val="2"/>
        <scheme val="minor"/>
      </rPr>
      <t>muestras</t>
    </r>
    <r>
      <rPr>
        <sz val="12"/>
        <color theme="0"/>
        <rFont val="Calibri"/>
        <family val="2"/>
        <scheme val="minor"/>
      </rPr>
      <t>)= (1 - 0,025/n</t>
    </r>
    <r>
      <rPr>
        <vertAlign val="subscript"/>
        <sz val="12"/>
        <color theme="0"/>
        <rFont val="Calibri"/>
        <family val="2"/>
        <scheme val="minor"/>
      </rPr>
      <t>muestras</t>
    </r>
    <r>
      <rPr>
        <sz val="12"/>
        <color theme="0"/>
        <rFont val="Calibri"/>
        <family val="2"/>
        <scheme val="minor"/>
      </rPr>
      <t>). Entonces :</t>
    </r>
  </si>
  <si>
    <r>
      <t>Para obtener los grados de libertad (</t>
    </r>
    <r>
      <rPr>
        <b/>
        <i/>
        <sz val="12"/>
        <color theme="0"/>
        <rFont val="Calibri"/>
        <family val="2"/>
        <scheme val="minor"/>
      </rPr>
      <t>dfc</t>
    </r>
    <r>
      <rPr>
        <sz val="12"/>
        <color theme="0"/>
        <rFont val="Calibri"/>
        <family val="2"/>
        <scheme val="minor"/>
      </rPr>
      <t xml:space="preserve">), en función del </t>
    </r>
    <r>
      <rPr>
        <b/>
        <i/>
        <sz val="12"/>
        <color theme="0"/>
        <rFont val="Calibri"/>
        <family val="2"/>
        <scheme val="minor"/>
      </rPr>
      <t>tau</t>
    </r>
    <r>
      <rPr>
        <sz val="12"/>
        <color theme="0"/>
        <rFont val="Calibri"/>
        <family val="2"/>
        <scheme val="minor"/>
      </rPr>
      <t xml:space="preserve"> calculado, debe considerar el número de laboratorios ("N</t>
    </r>
    <r>
      <rPr>
        <vertAlign val="subscript"/>
        <sz val="12"/>
        <color theme="0"/>
        <rFont val="Calibri"/>
        <family val="2"/>
        <scheme val="minor"/>
      </rPr>
      <t>RM</t>
    </r>
    <r>
      <rPr>
        <sz val="12"/>
        <color theme="0"/>
        <rFont val="Calibri"/>
        <family val="2"/>
        <scheme val="minor"/>
      </rPr>
      <t>") que participaron para la generación del valor evaluado (media del grupo par).</t>
    </r>
  </si>
  <si>
    <r>
      <t>Interpole en la tabla 15A, en la columna más cercana al "N</t>
    </r>
    <r>
      <rPr>
        <vertAlign val="subscript"/>
        <sz val="12"/>
        <color theme="0"/>
        <rFont val="Calibri"/>
        <family val="2"/>
        <scheme val="minor"/>
      </rPr>
      <t>RM</t>
    </r>
    <r>
      <rPr>
        <sz val="12"/>
        <color theme="0"/>
        <rFont val="Calibri"/>
        <family val="2"/>
        <scheme val="minor"/>
      </rPr>
      <t xml:space="preserve">" de laboratorios participantes y considere el valor </t>
    </r>
    <r>
      <rPr>
        <i/>
        <sz val="12"/>
        <color theme="0"/>
        <rFont val="Calibri"/>
        <family val="2"/>
        <scheme val="minor"/>
      </rPr>
      <t>dfc</t>
    </r>
    <r>
      <rPr>
        <sz val="12"/>
        <color theme="0"/>
        <rFont val="Calibri"/>
        <family val="2"/>
        <scheme val="minor"/>
      </rPr>
      <t xml:space="preserve"> que corresponda al valor más cercano al </t>
    </r>
    <r>
      <rPr>
        <i/>
        <sz val="12"/>
        <color theme="0"/>
        <rFont val="Calibri"/>
        <family val="2"/>
        <scheme val="minor"/>
      </rPr>
      <t>tau</t>
    </r>
    <r>
      <rPr>
        <sz val="12"/>
        <color theme="0"/>
        <rFont val="Calibri"/>
        <family val="2"/>
        <scheme val="minor"/>
      </rPr>
      <t xml:space="preserve"> calculado</t>
    </r>
  </si>
  <si>
    <r>
      <t>Tabla 15A: grados de libertad para error estándar combinado de la media y valor verdadero como una función de la razón del error estándar del material de referencia y el error estándar de la media (</t>
    </r>
    <r>
      <rPr>
        <b/>
        <i/>
        <sz val="12"/>
        <color theme="0"/>
        <rFont val="Calibri"/>
        <family val="2"/>
        <scheme val="minor"/>
      </rPr>
      <t>tau</t>
    </r>
    <r>
      <rPr>
        <sz val="12"/>
        <color theme="0"/>
        <rFont val="Calibri"/>
        <family val="2"/>
        <scheme val="minor"/>
      </rPr>
      <t>= Se</t>
    </r>
    <r>
      <rPr>
        <vertAlign val="subscript"/>
        <sz val="12"/>
        <color theme="0"/>
        <rFont val="Calibri"/>
        <family val="2"/>
        <scheme val="minor"/>
      </rPr>
      <t>RM</t>
    </r>
    <r>
      <rPr>
        <sz val="12"/>
        <color theme="0"/>
        <rFont val="Calibri"/>
        <family val="2"/>
        <scheme val="minor"/>
      </rPr>
      <t>/Se</t>
    </r>
    <r>
      <rPr>
        <vertAlign val="subscript"/>
        <sz val="12"/>
        <color theme="0"/>
        <rFont val="Calibri"/>
        <family val="2"/>
        <scheme val="minor"/>
      </rPr>
      <t>X</t>
    </r>
    <r>
      <rPr>
        <sz val="12"/>
        <color theme="0"/>
        <rFont val="Calibri"/>
        <family val="2"/>
        <scheme val="minor"/>
      </rPr>
      <t>), para un experimento de 5 corridas con 5 replicados por corrida  y N</t>
    </r>
    <r>
      <rPr>
        <vertAlign val="subscript"/>
        <sz val="12"/>
        <color theme="0"/>
        <rFont val="Calibri"/>
        <family val="2"/>
        <scheme val="minor"/>
      </rPr>
      <t>RM</t>
    </r>
    <r>
      <rPr>
        <sz val="12"/>
        <color theme="0"/>
        <rFont val="Calibri"/>
        <family val="2"/>
        <scheme val="minor"/>
      </rPr>
      <t xml:space="preserve"> = 10, 20, 50, 100 y más de 200 Laboratorios participantes.</t>
    </r>
  </si>
  <si>
    <r>
      <t>El intervalo de verificación debe considerar : El valor evaluado (TV), t student para una probabilidad de 0,975, ( que corresponde a un intervalo de confianza del 95 % para una muestra evaluada), grados de libertad combinados (t</t>
    </r>
    <r>
      <rPr>
        <vertAlign val="subscript"/>
        <sz val="12"/>
        <color theme="0"/>
        <rFont val="Calibri"/>
        <family val="2"/>
        <scheme val="minor"/>
      </rPr>
      <t>0,975</t>
    </r>
    <r>
      <rPr>
        <sz val="12"/>
        <color theme="0"/>
        <rFont val="Calibri"/>
        <family val="2"/>
        <scheme val="minor"/>
      </rPr>
      <t>dfc) y error estándar combinado Sec</t>
    </r>
  </si>
  <si>
    <r>
      <rPr>
        <b/>
        <i/>
        <sz val="12"/>
        <color theme="0"/>
        <rFont val="Calibri"/>
        <family val="2"/>
        <scheme val="minor"/>
      </rPr>
      <t>Etapa número 2</t>
    </r>
    <r>
      <rPr>
        <sz val="12"/>
        <color theme="0"/>
        <rFont val="Calibri"/>
        <family val="2"/>
        <scheme val="minor"/>
      </rPr>
      <t>, debe evaluar si el experimento es consistente en función del requisito de calidad definido para el procedimiento de medida.</t>
    </r>
  </si>
  <si>
    <r>
      <rPr>
        <b/>
        <i/>
        <sz val="12"/>
        <color theme="0"/>
        <rFont val="Calibri"/>
        <family val="2"/>
        <scheme val="minor"/>
      </rPr>
      <t>Etapa número 3</t>
    </r>
    <r>
      <rPr>
        <sz val="12"/>
        <color theme="0"/>
        <rFont val="Calibri"/>
        <family val="2"/>
        <scheme val="minor"/>
      </rPr>
      <t>, debe evaluar si el sesgo obtenido en el experimento es menor al requisito de calidad definido para el procedimiento de medida.</t>
    </r>
  </si>
  <si>
    <r>
      <rPr>
        <b/>
        <i/>
        <sz val="12"/>
        <color theme="0"/>
        <rFont val="Calibri"/>
        <family val="2"/>
        <scheme val="minor"/>
      </rPr>
      <t>Etapa número 4</t>
    </r>
    <r>
      <rPr>
        <sz val="12"/>
        <color theme="0"/>
        <rFont val="Calibri"/>
        <family val="2"/>
        <scheme val="minor"/>
      </rPr>
      <t>, debe evaluar si el sesgo obtenido en el experimento es menor al requisito de calidad definido para el procedimiento de medida.</t>
    </r>
  </si>
  <si>
    <t>Esta evaluación debe ser considerando el sesgo obtenido en %. Compararlo con el requisito de calidad máximo aceptable para error sistemático en %, de acuerdo al presupuesto establecido para Error Sistemático</t>
  </si>
  <si>
    <r>
      <t>∑ x</t>
    </r>
    <r>
      <rPr>
        <vertAlign val="subscript"/>
        <sz val="10"/>
        <rFont val="Arial"/>
        <family val="2"/>
      </rPr>
      <t>i</t>
    </r>
    <r>
      <rPr>
        <sz val="10"/>
        <rFont val="Arial"/>
        <family val="2"/>
      </rPr>
      <t xml:space="preserve"> = ( X1+X2+X3+X4+X5+X6+X7+X8+X9+…X25)</t>
    </r>
  </si>
  <si>
    <r>
      <t>Concentración Et</t>
    </r>
    <r>
      <rPr>
        <vertAlign val="subscript"/>
        <sz val="12"/>
        <rFont val="Calibri"/>
        <family val="2"/>
        <scheme val="minor"/>
      </rPr>
      <t xml:space="preserve">Max </t>
    </r>
  </si>
  <si>
    <t>n -1</t>
  </si>
  <si>
    <t>Area bajo la curva</t>
  </si>
  <si>
    <t>α</t>
  </si>
  <si>
    <t>1 - α</t>
  </si>
  <si>
    <r>
      <t>t</t>
    </r>
    <r>
      <rPr>
        <vertAlign val="subscript"/>
        <sz val="12"/>
        <rFont val="Arial"/>
        <family val="2"/>
      </rPr>
      <t>1</t>
    </r>
    <r>
      <rPr>
        <sz val="12"/>
        <rFont val="Arial"/>
        <family val="2"/>
      </rPr>
      <t xml:space="preserve"> =</t>
    </r>
  </si>
  <si>
    <r>
      <t>t</t>
    </r>
    <r>
      <rPr>
        <vertAlign val="subscript"/>
        <sz val="12"/>
        <rFont val="Arial"/>
        <family val="2"/>
      </rPr>
      <t>2</t>
    </r>
    <r>
      <rPr>
        <sz val="12"/>
        <rFont val="Arial"/>
        <family val="2"/>
      </rPr>
      <t xml:space="preserve"> =</t>
    </r>
  </si>
  <si>
    <t>α/2</t>
  </si>
  <si>
    <t>2 colas</t>
  </si>
  <si>
    <t>Valor de α/2 para dos colas</t>
  </si>
  <si>
    <t xml:space="preserve">Alfa /2 </t>
  </si>
  <si>
    <t xml:space="preserve">Nivel de significancia Alfa </t>
  </si>
  <si>
    <r>
      <t xml:space="preserve">        n</t>
    </r>
    <r>
      <rPr>
        <vertAlign val="subscript"/>
        <sz val="14"/>
        <color theme="1"/>
        <rFont val="Calibri"/>
        <family val="2"/>
        <scheme val="minor"/>
      </rPr>
      <t>muestras</t>
    </r>
  </si>
  <si>
    <t>Nivel de Confianza</t>
  </si>
  <si>
    <t>=Nivel de Confianza =</t>
  </si>
  <si>
    <t xml:space="preserve"> α</t>
  </si>
  <si>
    <t>1 - confianza =</t>
  </si>
  <si>
    <t>t=</t>
  </si>
  <si>
    <t>1   -   α/2 (una cola)</t>
  </si>
  <si>
    <r>
      <rPr>
        <b/>
        <i/>
        <sz val="12"/>
        <color theme="0"/>
        <rFont val="Calibri"/>
        <family val="2"/>
        <scheme val="minor"/>
      </rPr>
      <t>Etapa número 1</t>
    </r>
    <r>
      <rPr>
        <sz val="12"/>
        <color theme="0"/>
        <rFont val="Calibri"/>
        <family val="2"/>
        <scheme val="minor"/>
      </rPr>
      <t xml:space="preserve"> tiene como o</t>
    </r>
    <r>
      <rPr>
        <b/>
        <sz val="12"/>
        <color theme="0"/>
        <rFont val="Calibri"/>
        <family val="2"/>
        <scheme val="minor"/>
      </rPr>
      <t>bjetivo</t>
    </r>
    <r>
      <rPr>
        <sz val="12"/>
        <color theme="0"/>
        <rFont val="Calibri"/>
        <family val="2"/>
        <scheme val="minor"/>
      </rPr>
      <t xml:space="preserve">: verificar que la media obtenida en el experimento de 5 corridas y 5 replicados diarios, se encuentre en el intervalo de confianza de la media que declara el grupo par para el material de control evaluado  </t>
    </r>
    <r>
      <rPr>
        <b/>
        <sz val="12"/>
        <color theme="0"/>
        <rFont val="Calibri"/>
        <family val="2"/>
        <scheme val="minor"/>
      </rPr>
      <t>(Valor Verdadero, TV)</t>
    </r>
    <r>
      <rPr>
        <sz val="12"/>
        <color theme="0"/>
        <rFont val="Calibri"/>
        <family val="2"/>
        <scheme val="minor"/>
      </rPr>
      <t xml:space="preserve">. </t>
    </r>
  </si>
  <si>
    <r>
      <rPr>
        <sz val="16"/>
        <rFont val="Calibri"/>
        <family val="2"/>
        <scheme val="minor"/>
      </rPr>
      <t>Se</t>
    </r>
    <r>
      <rPr>
        <b/>
        <vertAlign val="subscript"/>
        <sz val="16"/>
        <rFont val="Calibri"/>
        <family val="2"/>
        <scheme val="minor"/>
      </rPr>
      <t>RM</t>
    </r>
    <r>
      <rPr>
        <sz val="11"/>
        <rFont val="Calibri"/>
        <family val="2"/>
        <scheme val="minor"/>
      </rPr>
      <t xml:space="preserve"> =            S  grupo par</t>
    </r>
  </si>
  <si>
    <t xml:space="preserve">                        √ n         (N° lab grupo par)</t>
  </si>
  <si>
    <t>1 -α</t>
  </si>
  <si>
    <t>Valor Evaluado, TV</t>
  </si>
  <si>
    <r>
      <t xml:space="preserve">Para ello obtenga los grados de libertad en función del valor </t>
    </r>
    <r>
      <rPr>
        <b/>
        <i/>
        <sz val="12"/>
        <color theme="0"/>
        <rFont val="Calibri"/>
        <family val="2"/>
        <scheme val="minor"/>
      </rPr>
      <t>tau</t>
    </r>
    <r>
      <rPr>
        <sz val="12"/>
        <color theme="0"/>
        <rFont val="Calibri"/>
        <family val="2"/>
        <scheme val="minor"/>
      </rPr>
      <t>, que considera la incertidumbre de la media obtenida y la incertidumbre del material de referencia, obtenidos en B78 y B88</t>
    </r>
  </si>
  <si>
    <r>
      <rPr>
        <i/>
        <sz val="10"/>
        <color theme="0"/>
        <rFont val="Calibri"/>
        <family val="2"/>
        <scheme val="minor"/>
      </rPr>
      <t>(p)</t>
    </r>
    <r>
      <rPr>
        <sz val="10"/>
        <color theme="0"/>
        <rFont val="Calibri"/>
        <family val="2"/>
        <scheme val="minor"/>
      </rPr>
      <t xml:space="preserve">: α/2 (una cola) </t>
    </r>
  </si>
  <si>
    <r>
      <rPr>
        <i/>
        <sz val="10"/>
        <color theme="0"/>
        <rFont val="Calibri"/>
        <family val="2"/>
        <scheme val="minor"/>
      </rPr>
      <t>(p)</t>
    </r>
    <r>
      <rPr>
        <sz val="10"/>
        <color theme="0"/>
        <rFont val="Calibri"/>
        <family val="2"/>
        <scheme val="minor"/>
      </rPr>
      <t xml:space="preserve">:α=(α/2*2) (dos colas) </t>
    </r>
  </si>
  <si>
    <r>
      <t>Obtenga el valor t (tabla t student o función de excel), para continuar con la construcción del intervalo de confianza del valor verdadero. Considere el valor de probabilidad (dos colas), de acuerdo al número de muestras evaluadas en el experimento de 5 corridas y 5 replicados y los grados de libertad (</t>
    </r>
    <r>
      <rPr>
        <i/>
        <sz val="12"/>
        <color theme="0"/>
        <rFont val="Calibri"/>
        <family val="2"/>
        <scheme val="minor"/>
      </rPr>
      <t>ndfc</t>
    </r>
    <r>
      <rPr>
        <sz val="12"/>
        <color theme="0"/>
        <rFont val="Calibri"/>
        <family val="2"/>
        <scheme val="minor"/>
      </rPr>
      <t>) extraídos de la tabla 15A</t>
    </r>
  </si>
  <si>
    <r>
      <t>Grados de libertad desde tabla 15A  (</t>
    </r>
    <r>
      <rPr>
        <i/>
        <sz val="12"/>
        <rFont val="Calibri"/>
        <family val="2"/>
        <scheme val="minor"/>
      </rPr>
      <t>ndfc</t>
    </r>
    <r>
      <rPr>
        <sz val="12"/>
        <rFont val="Calibri"/>
        <family val="2"/>
        <scheme val="minor"/>
      </rPr>
      <t>)</t>
    </r>
  </si>
  <si>
    <r>
      <t xml:space="preserve">Valor </t>
    </r>
    <r>
      <rPr>
        <i/>
        <sz val="14"/>
        <rFont val="Calibri"/>
        <family val="2"/>
        <scheme val="minor"/>
      </rPr>
      <t>t</t>
    </r>
    <r>
      <rPr>
        <vertAlign val="subscript"/>
        <sz val="12"/>
        <rFont val="Calibri"/>
        <family val="2"/>
        <scheme val="minor"/>
      </rPr>
      <t xml:space="preserve">1 - α/2 </t>
    </r>
    <r>
      <rPr>
        <i/>
        <sz val="12"/>
        <rFont val="Calibri"/>
        <family val="2"/>
        <scheme val="minor"/>
      </rPr>
      <t>; ndfc</t>
    </r>
    <r>
      <rPr>
        <sz val="12"/>
        <rFont val="Calibri"/>
        <family val="2"/>
        <scheme val="minor"/>
      </rPr>
      <t xml:space="preserve">       </t>
    </r>
    <r>
      <rPr>
        <sz val="12"/>
        <rFont val="Calibri"/>
        <family val="2"/>
        <scheme val="minor"/>
      </rPr>
      <t xml:space="preserve">= </t>
    </r>
  </si>
  <si>
    <t>1   -   α/2</t>
  </si>
  <si>
    <t>N° de muestras evaluadas</t>
  </si>
  <si>
    <r>
      <rPr>
        <i/>
        <sz val="12"/>
        <rFont val="Calibri"/>
        <family val="2"/>
        <scheme val="minor"/>
      </rPr>
      <t>(p)</t>
    </r>
    <r>
      <rPr>
        <sz val="12"/>
        <rFont val="Calibri"/>
        <family val="2"/>
        <scheme val="minor"/>
      </rPr>
      <t xml:space="preserve">: α/2 (una cola) </t>
    </r>
  </si>
  <si>
    <r>
      <t>Valor de α/2 (probabilidad</t>
    </r>
    <r>
      <rPr>
        <i/>
        <sz val="12"/>
        <rFont val="Calibri"/>
        <family val="2"/>
        <scheme val="minor"/>
      </rPr>
      <t xml:space="preserve"> (p)</t>
    </r>
    <r>
      <rPr>
        <sz val="12"/>
        <rFont val="Calibri"/>
        <family val="2"/>
        <scheme val="minor"/>
      </rPr>
      <t>), para un intervalo de confianza de 1 - α/2, con N° muestras evaluadas</t>
    </r>
  </si>
  <si>
    <r>
      <t>t</t>
    </r>
    <r>
      <rPr>
        <i/>
        <vertAlign val="subscript"/>
        <sz val="14"/>
        <rFont val="Calibri"/>
        <family val="2"/>
        <scheme val="minor"/>
      </rPr>
      <t>0,9917</t>
    </r>
    <r>
      <rPr>
        <sz val="14"/>
        <rFont val="Calibri"/>
        <family val="2"/>
        <scheme val="minor"/>
      </rPr>
      <t xml:space="preserve"> ; 12</t>
    </r>
    <r>
      <rPr>
        <i/>
        <sz val="14"/>
        <rFont val="Calibri"/>
        <family val="2"/>
        <scheme val="minor"/>
      </rPr>
      <t>dfc</t>
    </r>
    <r>
      <rPr>
        <sz val="14"/>
        <rFont val="Calibri"/>
        <family val="2"/>
        <scheme val="minor"/>
      </rPr>
      <t xml:space="preserve">  =</t>
    </r>
  </si>
  <si>
    <r>
      <t>Valor  t</t>
    </r>
    <r>
      <rPr>
        <vertAlign val="subscript"/>
        <sz val="16"/>
        <color theme="0"/>
        <rFont val="Calibri"/>
        <family val="2"/>
        <scheme val="minor"/>
      </rPr>
      <t>1 - α/2</t>
    </r>
    <r>
      <rPr>
        <sz val="16"/>
        <color theme="0"/>
        <rFont val="Calibri"/>
        <family val="2"/>
        <scheme val="minor"/>
      </rPr>
      <t xml:space="preserve"> ; </t>
    </r>
    <r>
      <rPr>
        <i/>
        <sz val="16"/>
        <color theme="0"/>
        <rFont val="Calibri"/>
        <family val="2"/>
        <scheme val="minor"/>
      </rPr>
      <t>ndfc</t>
    </r>
    <r>
      <rPr>
        <sz val="16"/>
        <color theme="0"/>
        <rFont val="Calibri"/>
        <family val="2"/>
        <scheme val="minor"/>
      </rPr>
      <t xml:space="preserve"> =</t>
    </r>
  </si>
  <si>
    <r>
      <t xml:space="preserve">IV </t>
    </r>
    <r>
      <rPr>
        <vertAlign val="subscript"/>
        <sz val="14"/>
        <color theme="1"/>
        <rFont val="Calibri"/>
        <family val="2"/>
        <scheme val="minor"/>
      </rPr>
      <t>95</t>
    </r>
    <r>
      <rPr>
        <sz val="14"/>
        <color theme="1"/>
        <rFont val="Calibri"/>
        <family val="2"/>
        <scheme val="minor"/>
      </rPr>
      <t xml:space="preserve"> </t>
    </r>
    <r>
      <rPr>
        <vertAlign val="subscript"/>
        <sz val="14"/>
        <color theme="1"/>
        <rFont val="Calibri"/>
        <family val="2"/>
        <scheme val="minor"/>
      </rPr>
      <t>% confianza</t>
    </r>
    <r>
      <rPr>
        <sz val="14"/>
        <color theme="1"/>
        <rFont val="Calibri"/>
        <family val="2"/>
        <scheme val="minor"/>
      </rPr>
      <t xml:space="preserve"> =   TV   +   (t</t>
    </r>
    <r>
      <rPr>
        <vertAlign val="subscript"/>
        <sz val="14"/>
        <color theme="1"/>
        <rFont val="Calibri"/>
        <family val="2"/>
        <scheme val="minor"/>
      </rPr>
      <t>1 - α/2</t>
    </r>
    <r>
      <rPr>
        <sz val="14"/>
        <color theme="1"/>
        <rFont val="Calibri"/>
        <family val="2"/>
        <scheme val="minor"/>
      </rPr>
      <t xml:space="preserve"> ; </t>
    </r>
    <r>
      <rPr>
        <i/>
        <sz val="14"/>
        <color theme="1"/>
        <rFont val="Calibri"/>
        <family val="2"/>
        <scheme val="minor"/>
      </rPr>
      <t>ndfc</t>
    </r>
    <r>
      <rPr>
        <sz val="14"/>
        <color theme="1"/>
        <rFont val="Calibri"/>
        <family val="2"/>
        <scheme val="minor"/>
      </rPr>
      <t xml:space="preserve">  *  Se</t>
    </r>
    <r>
      <rPr>
        <vertAlign val="subscript"/>
        <sz val="14"/>
        <color theme="1"/>
        <rFont val="Calibri"/>
        <family val="2"/>
        <scheme val="minor"/>
      </rPr>
      <t>C</t>
    </r>
    <r>
      <rPr>
        <sz val="14"/>
        <color theme="1"/>
        <rFont val="Calibri"/>
        <family val="2"/>
        <scheme val="minor"/>
      </rPr>
      <t>)</t>
    </r>
  </si>
  <si>
    <t>Desvío estándar máximo esperado del material a utilizar ajustado a las especificaciones descritas en los insertos del proveedor</t>
  </si>
  <si>
    <t>Repetibilidad Precisión Intraensayo</t>
  </si>
  <si>
    <t xml:space="preserve"> Precisión Intralaboratorio </t>
  </si>
  <si>
    <r>
      <t xml:space="preserve">Coeficiente de Variación Impresición Intralaboratorio                                                  % </t>
    </r>
    <r>
      <rPr>
        <sz val="18"/>
        <color theme="0"/>
        <rFont val="Calibri"/>
        <family val="2"/>
        <scheme val="minor"/>
      </rPr>
      <t>CV</t>
    </r>
    <r>
      <rPr>
        <vertAlign val="subscript"/>
        <sz val="18"/>
        <color theme="0"/>
        <rFont val="Calibri"/>
        <family val="2"/>
        <scheme val="minor"/>
      </rPr>
      <t>WL</t>
    </r>
    <r>
      <rPr>
        <sz val="11"/>
        <color theme="0"/>
        <rFont val="Calibri"/>
        <family val="2"/>
        <scheme val="minor"/>
      </rPr>
      <t xml:space="preserve"> =   </t>
    </r>
    <r>
      <rPr>
        <sz val="18"/>
        <color theme="0"/>
        <rFont val="Calibri"/>
        <family val="2"/>
        <scheme val="minor"/>
      </rPr>
      <t>S</t>
    </r>
    <r>
      <rPr>
        <vertAlign val="subscript"/>
        <sz val="18"/>
        <color theme="0"/>
        <rFont val="Calibri"/>
        <family val="2"/>
        <scheme val="minor"/>
      </rPr>
      <t>WL</t>
    </r>
    <r>
      <rPr>
        <sz val="11"/>
        <color theme="0"/>
        <rFont val="Calibri"/>
        <family val="2"/>
        <scheme val="minor"/>
      </rPr>
      <t xml:space="preserve">  *100</t>
    </r>
  </si>
  <si>
    <t xml:space="preserve">                                                 x       </t>
  </si>
  <si>
    <t>CV máximo admisible %</t>
  </si>
  <si>
    <t>Randox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</si>
</sst>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2]\ #,##0.00_);[Red]\([$€-2]\ #,##0.00\)"/>
    <numFmt numFmtId="165" formatCode="0.0000"/>
    <numFmt numFmtId="166" formatCode="0.000"/>
    <numFmt numFmtId="167" formatCode="0.0"/>
    <numFmt numFmtId="168" formatCode="0.00000"/>
  </numFmts>
  <fonts count="1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name val="Arial"/>
      <family val="2"/>
    </font>
    <font>
      <sz val="12"/>
      <name val="Arial"/>
      <family val="2"/>
    </font>
    <font>
      <sz val="10"/>
      <name val="Arial"/>
      <family val="2"/>
    </font>
    <font>
      <b/>
      <sz val="10"/>
      <name val="Arial"/>
      <family val="2"/>
    </font>
    <font>
      <sz val="18"/>
      <name val="Arial"/>
      <family val="2"/>
    </font>
    <font>
      <b/>
      <sz val="12"/>
      <name val="Arial"/>
      <family val="2"/>
    </font>
    <font>
      <sz val="14"/>
      <name val="Arial"/>
      <family val="2"/>
    </font>
    <font>
      <b/>
      <vertAlign val="subscript"/>
      <sz val="12"/>
      <name val="Arial"/>
      <family val="2"/>
    </font>
    <font>
      <b/>
      <vertAlign val="superscript"/>
      <sz val="12"/>
      <name val="Arial"/>
      <family val="2"/>
    </font>
    <font>
      <b/>
      <sz val="12"/>
      <color rgb="FFFFFFFF"/>
      <name val="Calibri"/>
      <family val="2"/>
      <scheme val="minor"/>
    </font>
    <font>
      <b/>
      <sz val="10"/>
      <color rgb="FFFFFFFF"/>
      <name val="Calibri"/>
      <family val="2"/>
      <scheme val="minor"/>
    </font>
    <font>
      <sz val="12"/>
      <color rgb="FF000000"/>
      <name val="Calibri"/>
      <family val="2"/>
      <scheme val="minor"/>
    </font>
    <font>
      <vertAlign val="subscript"/>
      <sz val="10"/>
      <name val="Arial"/>
      <family val="2"/>
    </font>
    <font>
      <vertAlign val="subscript"/>
      <sz val="12"/>
      <name val="Arial"/>
      <family val="2"/>
    </font>
    <font>
      <b/>
      <vertAlign val="subscript"/>
      <sz val="10"/>
      <name val="Arial"/>
      <family val="2"/>
    </font>
    <font>
      <b/>
      <vertAlign val="superscript"/>
      <sz val="10"/>
      <name val="Arial"/>
      <family val="2"/>
    </font>
    <font>
      <b/>
      <sz val="12"/>
      <color theme="0"/>
      <name val="Arial"/>
      <family val="2"/>
    </font>
    <font>
      <sz val="14"/>
      <color theme="0"/>
      <name val="Arial"/>
      <family val="2"/>
    </font>
    <font>
      <vertAlign val="subscript"/>
      <sz val="14"/>
      <name val="Arial"/>
      <family val="2"/>
    </font>
    <font>
      <sz val="20"/>
      <name val="Arial"/>
      <family val="2"/>
    </font>
    <font>
      <sz val="14"/>
      <name val="Calibri"/>
      <family val="2"/>
      <scheme val="minor"/>
    </font>
    <font>
      <vertAlign val="subscript"/>
      <sz val="14"/>
      <name val="Calibri"/>
      <family val="2"/>
      <scheme val="minor"/>
    </font>
    <font>
      <sz val="14"/>
      <color theme="0"/>
      <name val="Calibri"/>
      <family val="2"/>
      <scheme val="minor"/>
    </font>
    <font>
      <vertAlign val="subscript"/>
      <sz val="14"/>
      <color theme="0"/>
      <name val="Calibri"/>
      <family val="2"/>
      <scheme val="minor"/>
    </font>
    <font>
      <vertAlign val="subscript"/>
      <sz val="16"/>
      <name val="Arial"/>
      <family val="2"/>
    </font>
    <font>
      <sz val="12"/>
      <color theme="0"/>
      <name val="Arial"/>
      <family val="2"/>
    </font>
    <font>
      <sz val="16"/>
      <name val="Calibri"/>
      <family val="2"/>
      <scheme val="minor"/>
    </font>
    <font>
      <sz val="12"/>
      <name val="Calibri"/>
      <family val="2"/>
      <scheme val="minor"/>
    </font>
    <font>
      <vertAlign val="subscript"/>
      <sz val="12"/>
      <name val="Calibri"/>
      <family val="2"/>
      <scheme val="minor"/>
    </font>
    <font>
      <b/>
      <sz val="12"/>
      <name val="Calibri"/>
      <family val="2"/>
      <scheme val="minor"/>
    </font>
    <font>
      <sz val="12"/>
      <color theme="0"/>
      <name val="Calibri"/>
      <family val="2"/>
      <scheme val="minor"/>
    </font>
    <font>
      <vertAlign val="subscript"/>
      <sz val="12"/>
      <color theme="0"/>
      <name val="Calibri"/>
      <family val="2"/>
      <scheme val="minor"/>
    </font>
    <font>
      <b/>
      <sz val="10"/>
      <name val="Calibri"/>
      <family val="2"/>
      <scheme val="minor"/>
    </font>
    <font>
      <sz val="10"/>
      <name val="Calibri"/>
      <family val="2"/>
      <scheme val="minor"/>
    </font>
    <font>
      <sz val="16"/>
      <color theme="0"/>
      <name val="Calibri"/>
      <family val="2"/>
      <scheme val="minor"/>
    </font>
    <font>
      <vertAlign val="subscript"/>
      <sz val="16"/>
      <color theme="0"/>
      <name val="Arial"/>
      <family val="2"/>
    </font>
    <font>
      <sz val="16"/>
      <color theme="0"/>
      <name val="Arial"/>
      <family val="2"/>
    </font>
    <font>
      <b/>
      <sz val="16"/>
      <name val="Arial"/>
      <family val="2"/>
    </font>
    <font>
      <b/>
      <sz val="14"/>
      <color rgb="FFFFFFFF"/>
      <name val="Calibri"/>
      <family val="2"/>
      <scheme val="minor"/>
    </font>
    <font>
      <sz val="11"/>
      <color theme="0"/>
      <name val="Calibri"/>
      <family val="2"/>
      <scheme val="minor"/>
    </font>
    <font>
      <b/>
      <vertAlign val="subscript"/>
      <sz val="12"/>
      <name val="Calibri"/>
      <family val="2"/>
      <scheme val="minor"/>
    </font>
    <font>
      <b/>
      <sz val="16"/>
      <name val="Calibri"/>
      <family val="2"/>
      <scheme val="minor"/>
    </font>
    <font>
      <b/>
      <vertAlign val="superscript"/>
      <sz val="12"/>
      <name val="Calibri"/>
      <family val="2"/>
      <scheme val="minor"/>
    </font>
    <font>
      <vertAlign val="subscript"/>
      <sz val="16"/>
      <name val="Calibri"/>
      <family val="2"/>
      <scheme val="minor"/>
    </font>
    <font>
      <vertAlign val="superscript"/>
      <sz val="16"/>
      <name val="Calibri"/>
      <family val="2"/>
      <scheme val="minor"/>
    </font>
    <font>
      <sz val="11"/>
      <name val="Calibri"/>
      <family val="2"/>
      <scheme val="minor"/>
    </font>
    <font>
      <sz val="14"/>
      <color rgb="FFFFFFFF"/>
      <name val="Calibri"/>
      <family val="2"/>
      <scheme val="minor"/>
    </font>
    <font>
      <vertAlign val="subscript"/>
      <sz val="11"/>
      <color theme="1"/>
      <name val="Calibri"/>
      <family val="2"/>
      <scheme val="minor"/>
    </font>
    <font>
      <vertAlign val="subscript"/>
      <sz val="11"/>
      <color theme="0"/>
      <name val="Calibri"/>
      <family val="2"/>
      <scheme val="minor"/>
    </font>
    <font>
      <sz val="18"/>
      <name val="Calibri"/>
      <family val="2"/>
      <scheme val="minor"/>
    </font>
    <font>
      <sz val="16"/>
      <color theme="1"/>
      <name val="Calibri"/>
      <family val="2"/>
      <scheme val="minor"/>
    </font>
    <font>
      <sz val="18"/>
      <color theme="1"/>
      <name val="Calibri"/>
      <family val="2"/>
      <scheme val="minor"/>
    </font>
    <font>
      <vertAlign val="subscript"/>
      <sz val="18"/>
      <name val="Calibri"/>
      <family val="2"/>
      <scheme val="minor"/>
    </font>
    <font>
      <vertAlign val="superscript"/>
      <sz val="18"/>
      <name val="Calibri"/>
      <family val="2"/>
      <scheme val="minor"/>
    </font>
    <font>
      <vertAlign val="subscript"/>
      <sz val="16"/>
      <color theme="1"/>
      <name val="Calibri"/>
      <family val="2"/>
      <scheme val="minor"/>
    </font>
    <font>
      <vertAlign val="subscript"/>
      <sz val="18"/>
      <color theme="1"/>
      <name val="Calibri"/>
      <family val="2"/>
      <scheme val="minor"/>
    </font>
    <font>
      <vertAlign val="subscript"/>
      <sz val="18"/>
      <name val="Arial"/>
      <family val="2"/>
    </font>
    <font>
      <b/>
      <sz val="14"/>
      <name val="Calibri"/>
      <family val="2"/>
      <scheme val="minor"/>
    </font>
    <font>
      <b/>
      <vertAlign val="subscript"/>
      <sz val="14"/>
      <name val="Calibri"/>
      <family val="2"/>
      <scheme val="minor"/>
    </font>
    <font>
      <sz val="18"/>
      <color theme="0"/>
      <name val="Calibri"/>
      <family val="2"/>
      <scheme val="minor"/>
    </font>
    <font>
      <vertAlign val="subscript"/>
      <sz val="18"/>
      <color theme="0"/>
      <name val="Calibri"/>
      <family val="2"/>
      <scheme val="minor"/>
    </font>
    <font>
      <vertAlign val="subscript"/>
      <sz val="16"/>
      <color theme="0"/>
      <name val="Calibri"/>
      <family val="2"/>
      <scheme val="minor"/>
    </font>
    <font>
      <sz val="11"/>
      <name val="Arial"/>
      <family val="2"/>
    </font>
    <font>
      <b/>
      <sz val="14"/>
      <name val="Arial"/>
      <family val="2"/>
    </font>
    <font>
      <vertAlign val="superscript"/>
      <sz val="14"/>
      <name val="Arial"/>
      <family val="2"/>
    </font>
    <font>
      <vertAlign val="subscript"/>
      <sz val="12"/>
      <color rgb="FF000000"/>
      <name val="Calibri"/>
      <family val="2"/>
      <scheme val="minor"/>
    </font>
    <font>
      <b/>
      <sz val="16"/>
      <color theme="0"/>
      <name val="Calibri"/>
      <family val="2"/>
      <scheme val="minor"/>
    </font>
    <font>
      <b/>
      <vertAlign val="subscript"/>
      <sz val="16"/>
      <color theme="0"/>
      <name val="Calibri"/>
      <family val="2"/>
      <scheme val="minor"/>
    </font>
    <font>
      <b/>
      <vertAlign val="subscript"/>
      <sz val="16"/>
      <name val="Calibri"/>
      <family val="2"/>
      <scheme val="minor"/>
    </font>
    <font>
      <sz val="16"/>
      <color rgb="FF000000"/>
      <name val="Calibri"/>
      <family val="2"/>
      <scheme val="minor"/>
    </font>
    <font>
      <b/>
      <sz val="10"/>
      <color theme="0"/>
      <name val="Calibri"/>
      <family val="2"/>
      <scheme val="minor"/>
    </font>
    <font>
      <vertAlign val="superscript"/>
      <sz val="14"/>
      <name val="Calibri"/>
      <family val="2"/>
      <scheme val="minor"/>
    </font>
    <font>
      <vertAlign val="superscript"/>
      <sz val="14"/>
      <color theme="1"/>
      <name val="Calibri"/>
      <family val="2"/>
      <scheme val="minor"/>
    </font>
    <font>
      <sz val="22"/>
      <color theme="0"/>
      <name val="Calibri"/>
      <family val="2"/>
      <scheme val="minor"/>
    </font>
    <font>
      <sz val="22"/>
      <color theme="1"/>
      <name val="Calibri"/>
      <family val="2"/>
      <scheme val="minor"/>
    </font>
    <font>
      <b/>
      <vertAlign val="subscript"/>
      <sz val="18"/>
      <color theme="0"/>
      <name val="Calibri"/>
      <family val="2"/>
      <scheme val="minor"/>
    </font>
    <font>
      <vertAlign val="superscript"/>
      <sz val="16"/>
      <color theme="0"/>
      <name val="Calibri"/>
      <family val="2"/>
      <scheme val="minor"/>
    </font>
    <font>
      <vertAlign val="subscript"/>
      <sz val="11"/>
      <name val="Calibri"/>
      <family val="2"/>
      <scheme val="minor"/>
    </font>
    <font>
      <vertAlign val="superscript"/>
      <sz val="12"/>
      <name val="Calibri"/>
      <family val="2"/>
      <scheme val="minor"/>
    </font>
    <font>
      <sz val="48"/>
      <name val="Calibri"/>
      <family val="2"/>
      <scheme val="minor"/>
    </font>
    <font>
      <sz val="28"/>
      <name val="Calibri"/>
      <family val="2"/>
      <scheme val="minor"/>
    </font>
    <font>
      <i/>
      <sz val="16"/>
      <name val="Calibri"/>
      <family val="2"/>
      <scheme val="minor"/>
    </font>
    <font>
      <b/>
      <i/>
      <sz val="12"/>
      <name val="Calibri"/>
      <family val="2"/>
      <scheme val="minor"/>
    </font>
    <font>
      <b/>
      <i/>
      <sz val="11"/>
      <color theme="0"/>
      <name val="Calibri"/>
      <family val="2"/>
      <scheme val="minor"/>
    </font>
    <font>
      <i/>
      <sz val="11"/>
      <color theme="1"/>
      <name val="Calibri"/>
      <family val="2"/>
      <scheme val="minor"/>
    </font>
    <font>
      <sz val="14"/>
      <color theme="1"/>
      <name val="Calibri"/>
      <family val="2"/>
      <scheme val="minor"/>
    </font>
    <font>
      <vertAlign val="subscript"/>
      <sz val="14"/>
      <color theme="1"/>
      <name val="Calibri"/>
      <family val="2"/>
      <scheme val="minor"/>
    </font>
    <font>
      <sz val="11"/>
      <color rgb="FF000000"/>
      <name val="Times New Roman"/>
      <family val="1"/>
    </font>
    <font>
      <sz val="11"/>
      <color rgb="FF000000"/>
      <name val="Symbol"/>
      <family val="1"/>
      <charset val="2"/>
    </font>
    <font>
      <sz val="12"/>
      <color rgb="FF8FBF15"/>
      <name val="Verdana"/>
      <family val="2"/>
    </font>
    <font>
      <sz val="9"/>
      <color rgb="FF000000"/>
      <name val="Times New Roman"/>
      <family val="1"/>
    </font>
    <font>
      <b/>
      <sz val="18"/>
      <name val="Calibri"/>
      <family val="2"/>
      <scheme val="minor"/>
    </font>
    <font>
      <vertAlign val="superscript"/>
      <sz val="18"/>
      <color theme="0"/>
      <name val="Calibri"/>
      <family val="2"/>
      <scheme val="minor"/>
    </font>
    <font>
      <b/>
      <sz val="12"/>
      <color theme="0"/>
      <name val="Calibri"/>
      <family val="2"/>
      <scheme val="minor"/>
    </font>
    <font>
      <b/>
      <i/>
      <sz val="12"/>
      <color theme="0"/>
      <name val="Calibri"/>
      <family val="2"/>
      <scheme val="minor"/>
    </font>
    <font>
      <i/>
      <sz val="12"/>
      <color theme="0"/>
      <name val="Calibri"/>
      <family val="2"/>
      <scheme val="minor"/>
    </font>
    <font>
      <sz val="12"/>
      <name val="Calibri"/>
      <family val="2"/>
    </font>
    <font>
      <sz val="10"/>
      <color theme="0"/>
      <name val="Calibri"/>
      <family val="2"/>
      <scheme val="minor"/>
    </font>
    <font>
      <sz val="12"/>
      <color theme="1"/>
      <name val="Calibri"/>
      <family val="2"/>
      <scheme val="minor"/>
    </font>
    <font>
      <i/>
      <sz val="12"/>
      <name val="Calibri"/>
      <family val="2"/>
      <scheme val="minor"/>
    </font>
    <font>
      <i/>
      <sz val="10"/>
      <color theme="0"/>
      <name val="Calibri"/>
      <family val="2"/>
      <scheme val="minor"/>
    </font>
    <font>
      <i/>
      <sz val="14"/>
      <name val="Calibri"/>
      <family val="2"/>
      <scheme val="minor"/>
    </font>
    <font>
      <i/>
      <vertAlign val="subscript"/>
      <sz val="14"/>
      <name val="Calibri"/>
      <family val="2"/>
      <scheme val="minor"/>
    </font>
    <font>
      <i/>
      <sz val="16"/>
      <color theme="0"/>
      <name val="Calibri"/>
      <family val="2"/>
      <scheme val="minor"/>
    </font>
    <font>
      <i/>
      <sz val="14"/>
      <color theme="1"/>
      <name val="Calibri"/>
      <family val="2"/>
      <scheme val="minor"/>
    </font>
  </fonts>
  <fills count="39">
    <fill>
      <patternFill patternType="none"/>
    </fill>
    <fill>
      <patternFill patternType="gray125"/>
    </fill>
    <fill>
      <patternFill patternType="solid">
        <fgColor theme="5" tint="0.39997558519241921"/>
        <bgColor indexed="64"/>
      </patternFill>
    </fill>
    <fill>
      <patternFill patternType="solid">
        <fgColor rgb="FFC0504D"/>
        <bgColor indexed="64"/>
      </patternFill>
    </fill>
    <fill>
      <patternFill patternType="solid">
        <fgColor theme="2"/>
        <bgColor indexed="64"/>
      </patternFill>
    </fill>
    <fill>
      <patternFill patternType="solid">
        <fgColor rgb="FFF4E9E9"/>
        <bgColor indexed="64"/>
      </patternFill>
    </fill>
    <fill>
      <patternFill patternType="solid">
        <fgColor rgb="FFE8D0D0"/>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8"/>
      </patternFill>
    </fill>
    <fill>
      <patternFill patternType="solid">
        <fgColor theme="8"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6" tint="0.39997558519241921"/>
        <bgColor indexed="65"/>
      </patternFill>
    </fill>
    <fill>
      <patternFill patternType="solid">
        <fgColor theme="6"/>
      </patternFill>
    </fill>
    <fill>
      <patternFill patternType="solid">
        <fgColor theme="9"/>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7"/>
      </patternFill>
    </fill>
    <fill>
      <patternFill patternType="solid">
        <fgColor theme="7" tint="0.79998168889431442"/>
        <bgColor indexed="64"/>
      </patternFill>
    </fill>
    <fill>
      <patternFill patternType="solid">
        <fgColor theme="9" tint="0.59999389629810485"/>
        <bgColor indexed="65"/>
      </patternFill>
    </fill>
    <fill>
      <patternFill patternType="solid">
        <fgColor theme="3" tint="-0.249977111117893"/>
        <bgColor indexed="64"/>
      </patternFill>
    </fill>
    <fill>
      <patternFill patternType="solid">
        <fgColor theme="9" tint="0.79998168889431442"/>
        <bgColor indexed="65"/>
      </patternFill>
    </fill>
    <fill>
      <patternFill patternType="solid">
        <fgColor theme="3" tint="0.39997558519241921"/>
        <bgColor indexed="64"/>
      </patternFill>
    </fill>
    <fill>
      <patternFill patternType="solid">
        <fgColor theme="8" tint="-0.249977111117893"/>
        <bgColor indexed="64"/>
      </patternFill>
    </fill>
    <fill>
      <patternFill patternType="solid">
        <fgColor rgb="FFFF0000"/>
        <bgColor indexed="64"/>
      </patternFill>
    </fill>
  </fills>
  <borders count="1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
      <left style="thin">
        <color indexed="64"/>
      </left>
      <right style="thin">
        <color indexed="64"/>
      </right>
      <top/>
      <bottom style="medium">
        <color theme="0"/>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diagonal/>
    </border>
    <border>
      <left style="thin">
        <color indexed="64"/>
      </left>
      <right style="medium">
        <color theme="0"/>
      </right>
      <top/>
      <bottom style="medium">
        <color theme="0"/>
      </bottom>
      <diagonal/>
    </border>
    <border>
      <left/>
      <right/>
      <top style="medium">
        <color theme="0"/>
      </top>
      <bottom style="medium">
        <color theme="0"/>
      </bottom>
      <diagonal/>
    </border>
    <border>
      <left style="thin">
        <color indexed="64"/>
      </left>
      <right/>
      <top style="medium">
        <color theme="0"/>
      </top>
      <bottom/>
      <diagonal/>
    </border>
    <border>
      <left style="medium">
        <color theme="0"/>
      </left>
      <right/>
      <top style="medium">
        <color theme="0"/>
      </top>
      <bottom/>
      <diagonal/>
    </border>
    <border>
      <left style="medium">
        <color theme="0"/>
      </left>
      <right/>
      <top style="medium">
        <color theme="0"/>
      </top>
      <bottom style="medium">
        <color theme="0"/>
      </bottom>
      <diagonal/>
    </border>
    <border>
      <left style="medium">
        <color theme="0"/>
      </left>
      <right style="thin">
        <color theme="0"/>
      </right>
      <top style="medium">
        <color theme="0"/>
      </top>
      <bottom style="medium">
        <color theme="0"/>
      </bottom>
      <diagonal/>
    </border>
    <border>
      <left style="medium">
        <color theme="0"/>
      </left>
      <right style="thin">
        <color theme="0"/>
      </right>
      <top style="medium">
        <color theme="0"/>
      </top>
      <bottom/>
      <diagonal/>
    </border>
    <border>
      <left style="medium">
        <color theme="0"/>
      </left>
      <right style="thin">
        <color theme="0"/>
      </right>
      <top/>
      <bottom style="medium">
        <color theme="0"/>
      </bottom>
      <diagonal/>
    </border>
    <border>
      <left style="medium">
        <color theme="0"/>
      </left>
      <right style="thin">
        <color theme="0"/>
      </right>
      <top/>
      <bottom/>
      <diagonal/>
    </border>
    <border>
      <left style="thin">
        <color theme="0"/>
      </left>
      <right/>
      <top/>
      <bottom style="medium">
        <color theme="0"/>
      </bottom>
      <diagonal/>
    </border>
    <border>
      <left/>
      <right style="thin">
        <color theme="0"/>
      </right>
      <top/>
      <bottom style="medium">
        <color theme="0"/>
      </bottom>
      <diagonal/>
    </border>
    <border>
      <left/>
      <right style="thin">
        <color theme="0"/>
      </right>
      <top style="medium">
        <color theme="0"/>
      </top>
      <bottom style="medium">
        <color theme="0"/>
      </bottom>
      <diagonal/>
    </border>
    <border>
      <left/>
      <right style="thin">
        <color theme="0"/>
      </right>
      <top style="medium">
        <color theme="0"/>
      </top>
      <bottom/>
      <diagonal/>
    </border>
    <border>
      <left style="medium">
        <color theme="0"/>
      </left>
      <right style="thin">
        <color theme="0"/>
      </right>
      <top/>
      <bottom style="thin">
        <color theme="0"/>
      </bottom>
      <diagonal/>
    </border>
    <border>
      <left/>
      <right style="thin">
        <color indexed="64"/>
      </right>
      <top/>
      <bottom style="medium">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right style="thin">
        <color theme="0"/>
      </right>
      <top style="thin">
        <color theme="0"/>
      </top>
      <bottom style="thin">
        <color theme="0"/>
      </bottom>
      <diagonal/>
    </border>
    <border>
      <left/>
      <right style="thin">
        <color indexed="64"/>
      </right>
      <top/>
      <bottom style="thin">
        <color theme="0"/>
      </bottom>
      <diagonal/>
    </border>
    <border>
      <left style="thin">
        <color indexed="64"/>
      </left>
      <right style="thin">
        <color indexed="64"/>
      </right>
      <top style="thin">
        <color theme="0"/>
      </top>
      <bottom style="medium">
        <color theme="0"/>
      </bottom>
      <diagonal/>
    </border>
    <border>
      <left style="thin">
        <color indexed="64"/>
      </left>
      <right style="thin">
        <color theme="0"/>
      </right>
      <top style="thin">
        <color theme="0"/>
      </top>
      <bottom style="medium">
        <color theme="0"/>
      </bottom>
      <diagonal/>
    </border>
    <border>
      <left style="thin">
        <color indexed="64"/>
      </left>
      <right style="thin">
        <color theme="0"/>
      </right>
      <top style="medium">
        <color theme="0"/>
      </top>
      <bottom/>
      <diagonal/>
    </border>
    <border>
      <left style="thin">
        <color indexed="64"/>
      </left>
      <right style="medium">
        <color theme="0"/>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medium">
        <color theme="0"/>
      </right>
      <top style="thin">
        <color indexed="64"/>
      </top>
      <bottom style="thin">
        <color indexed="64"/>
      </bottom>
      <diagonal/>
    </border>
    <border>
      <left style="thin">
        <color indexed="64"/>
      </left>
      <right style="thin">
        <color indexed="64"/>
      </right>
      <top style="thin">
        <color indexed="64"/>
      </top>
      <bottom style="medium">
        <color theme="0"/>
      </bottom>
      <diagonal/>
    </border>
    <border>
      <left style="thin">
        <color indexed="64"/>
      </left>
      <right style="medium">
        <color theme="0"/>
      </right>
      <top style="thin">
        <color indexed="64"/>
      </top>
      <bottom style="medium">
        <color theme="0"/>
      </bottom>
      <diagonal/>
    </border>
    <border>
      <left/>
      <right style="thin">
        <color indexed="64"/>
      </right>
      <top style="medium">
        <color theme="0"/>
      </top>
      <bottom style="thin">
        <color indexed="64"/>
      </bottom>
      <diagonal/>
    </border>
    <border>
      <left/>
      <right style="thin">
        <color indexed="64"/>
      </right>
      <top style="thin">
        <color indexed="64"/>
      </top>
      <bottom style="medium">
        <color theme="0"/>
      </bottom>
      <diagonal/>
    </border>
    <border>
      <left style="medium">
        <color theme="0"/>
      </left>
      <right style="thin">
        <color indexed="64"/>
      </right>
      <top style="medium">
        <color theme="0"/>
      </top>
      <bottom style="thin">
        <color indexed="64"/>
      </bottom>
      <diagonal/>
    </border>
    <border>
      <left style="medium">
        <color theme="0"/>
      </left>
      <right style="thin">
        <color indexed="64"/>
      </right>
      <top style="thin">
        <color indexed="64"/>
      </top>
      <bottom style="thin">
        <color indexed="64"/>
      </bottom>
      <diagonal/>
    </border>
    <border>
      <left style="medium">
        <color theme="0"/>
      </left>
      <right style="thin">
        <color indexed="64"/>
      </right>
      <top style="thin">
        <color indexed="64"/>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0"/>
      </right>
      <top style="medium">
        <color theme="1"/>
      </top>
      <bottom/>
      <diagonal/>
    </border>
    <border>
      <left/>
      <right style="medium">
        <color theme="0"/>
      </right>
      <top/>
      <bottom style="medium">
        <color theme="1"/>
      </bottom>
      <diagonal/>
    </border>
    <border>
      <left style="thin">
        <color theme="0"/>
      </left>
      <right/>
      <top style="thin">
        <color theme="0"/>
      </top>
      <bottom style="thin">
        <color theme="0"/>
      </bottom>
      <diagonal/>
    </border>
    <border>
      <left/>
      <right/>
      <top style="thin">
        <color theme="0"/>
      </top>
      <bottom style="medium">
        <color theme="0"/>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style="medium">
        <color theme="0"/>
      </top>
      <bottom/>
      <diagonal/>
    </border>
    <border>
      <left/>
      <right style="medium">
        <color theme="0"/>
      </right>
      <top/>
      <bottom style="thin">
        <color theme="0"/>
      </bottom>
      <diagonal/>
    </border>
    <border>
      <left/>
      <right style="medium">
        <color theme="0"/>
      </right>
      <top style="thin">
        <color theme="0"/>
      </top>
      <bottom/>
      <diagonal/>
    </border>
    <border>
      <left style="thin">
        <color theme="0"/>
      </left>
      <right style="thin">
        <color theme="0"/>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right style="thin">
        <color theme="0"/>
      </right>
      <top style="medium">
        <color rgb="FFFFFFFF"/>
      </top>
      <bottom style="thin">
        <color theme="0"/>
      </bottom>
      <diagonal/>
    </border>
    <border>
      <left style="thin">
        <color theme="0"/>
      </left>
      <right style="thin">
        <color theme="0"/>
      </right>
      <top style="medium">
        <color rgb="FFFFFFFF"/>
      </top>
      <bottom/>
      <diagonal/>
    </border>
    <border>
      <left style="medium">
        <color theme="0"/>
      </left>
      <right/>
      <top style="thin">
        <color theme="0"/>
      </top>
      <bottom style="thin">
        <color theme="0"/>
      </bottom>
      <diagonal/>
    </border>
    <border>
      <left style="thin">
        <color indexed="64"/>
      </left>
      <right style="thin">
        <color theme="0"/>
      </right>
      <top style="medium">
        <color theme="0"/>
      </top>
      <bottom style="thin">
        <color indexed="64"/>
      </bottom>
      <diagonal/>
    </border>
    <border>
      <left style="thin">
        <color indexed="64"/>
      </left>
      <right style="thin">
        <color theme="0"/>
      </right>
      <top style="thin">
        <color indexed="64"/>
      </top>
      <bottom style="medium">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theme="0"/>
      </left>
      <right style="medium">
        <color theme="0"/>
      </right>
      <top style="thin">
        <color theme="0"/>
      </top>
      <bottom style="thin">
        <color theme="0"/>
      </bottom>
      <diagonal/>
    </border>
    <border>
      <left/>
      <right style="medium">
        <color theme="0"/>
      </right>
      <top style="thin">
        <color theme="0"/>
      </top>
      <bottom style="thin">
        <color theme="0"/>
      </bottom>
      <diagonal/>
    </border>
    <border>
      <left style="thin">
        <color theme="0"/>
      </left>
      <right/>
      <top style="thick">
        <color rgb="FFFFFFFF"/>
      </top>
      <bottom/>
      <diagonal/>
    </border>
    <border>
      <left style="thin">
        <color theme="0"/>
      </left>
      <right style="thin">
        <color theme="0"/>
      </right>
      <top style="thick">
        <color rgb="FFFFFFFF"/>
      </top>
      <bottom/>
      <diagonal/>
    </border>
    <border>
      <left style="thin">
        <color indexed="64"/>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theme="0"/>
      </right>
      <top style="medium">
        <color theme="0"/>
      </top>
      <bottom style="medium">
        <color theme="0"/>
      </bottom>
      <diagonal/>
    </border>
    <border>
      <left style="thin">
        <color indexed="64"/>
      </left>
      <right style="thin">
        <color theme="0"/>
      </right>
      <top/>
      <bottom/>
      <diagonal/>
    </border>
    <border>
      <left style="thin">
        <color indexed="64"/>
      </left>
      <right style="thin">
        <color theme="0"/>
      </right>
      <top/>
      <bottom style="medium">
        <color theme="0"/>
      </bottom>
      <diagonal/>
    </border>
    <border>
      <left style="medium">
        <color rgb="FFFFFFFF"/>
      </left>
      <right style="thin">
        <color theme="0"/>
      </right>
      <top/>
      <bottom/>
      <diagonal/>
    </border>
    <border>
      <left style="medium">
        <color theme="0"/>
      </left>
      <right style="thin">
        <color theme="0"/>
      </right>
      <top style="thin">
        <color theme="0"/>
      </top>
      <bottom style="medium">
        <color theme="0"/>
      </bottom>
      <diagonal/>
    </border>
    <border>
      <left style="thin">
        <color indexed="64"/>
      </left>
      <right style="thin">
        <color theme="0"/>
      </right>
      <top style="medium">
        <color theme="0"/>
      </top>
      <bottom style="medium">
        <color theme="0"/>
      </bottom>
      <diagonal/>
    </border>
    <border>
      <left style="medium">
        <color theme="0"/>
      </left>
      <right style="thin">
        <color theme="0"/>
      </right>
      <top style="medium">
        <color theme="0"/>
      </top>
      <bottom style="thin">
        <color indexed="64"/>
      </bottom>
      <diagonal/>
    </border>
    <border>
      <left style="medium">
        <color theme="0"/>
      </left>
      <right/>
      <top style="thin">
        <color indexed="64"/>
      </top>
      <bottom style="medium">
        <color theme="0"/>
      </bottom>
      <diagonal/>
    </border>
    <border>
      <left/>
      <right style="thin">
        <color indexed="64"/>
      </right>
      <top style="thin">
        <color theme="0"/>
      </top>
      <bottom style="thin">
        <color theme="0"/>
      </bottom>
      <diagonal/>
    </border>
    <border>
      <left style="medium">
        <color theme="0"/>
      </left>
      <right/>
      <top/>
      <bottom style="thin">
        <color indexed="64"/>
      </bottom>
      <diagonal/>
    </border>
    <border>
      <left style="medium">
        <color theme="0"/>
      </left>
      <right style="thin">
        <color theme="0"/>
      </right>
      <top style="thin">
        <color indexed="64"/>
      </top>
      <bottom style="thin">
        <color theme="0"/>
      </bottom>
      <diagonal/>
    </border>
    <border>
      <left style="thin">
        <color theme="0"/>
      </left>
      <right style="thin">
        <color indexed="64"/>
      </right>
      <top/>
      <bottom style="medium">
        <color theme="0"/>
      </bottom>
      <diagonal/>
    </border>
    <border>
      <left style="medium">
        <color theme="0"/>
      </left>
      <right style="thin">
        <color theme="0"/>
      </right>
      <top style="thin">
        <color theme="0"/>
      </top>
      <bottom/>
      <diagonal/>
    </border>
    <border>
      <left style="thin">
        <color theme="0"/>
      </left>
      <right style="medium">
        <color theme="0"/>
      </right>
      <top/>
      <bottom style="thin">
        <color theme="0"/>
      </bottom>
      <diagonal/>
    </border>
    <border>
      <left/>
      <right style="thin">
        <color theme="0"/>
      </right>
      <top style="thin">
        <color theme="0"/>
      </top>
      <bottom style="thin">
        <color indexed="64"/>
      </bottom>
      <diagonal/>
    </border>
    <border>
      <left/>
      <right style="thin">
        <color theme="0"/>
      </right>
      <top style="thin">
        <color indexed="64"/>
      </top>
      <bottom style="thin">
        <color theme="0"/>
      </bottom>
      <diagonal/>
    </border>
    <border>
      <left style="thin">
        <color indexed="64"/>
      </left>
      <right style="thin">
        <color theme="0"/>
      </right>
      <top style="thin">
        <color indexed="64"/>
      </top>
      <bottom/>
      <diagonal/>
    </border>
    <border>
      <left/>
      <right style="thin">
        <color theme="0"/>
      </right>
      <top/>
      <bottom style="thin">
        <color indexed="64"/>
      </bottom>
      <diagonal/>
    </border>
    <border>
      <left style="thin">
        <color indexed="64"/>
      </left>
      <right/>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s>
  <cellStyleXfs count="19">
    <xf numFmtId="0" fontId="0" fillId="0" borderId="0"/>
    <xf numFmtId="0" fontId="50" fillId="14" borderId="0" applyNumberFormat="0" applyBorder="0" applyAlignment="0" applyProtection="0"/>
    <xf numFmtId="0" fontId="10" fillId="15" borderId="0" applyNumberFormat="0" applyBorder="0" applyAlignment="0" applyProtection="0"/>
    <xf numFmtId="0" fontId="50" fillId="16" borderId="0" applyNumberFormat="0" applyBorder="0" applyAlignment="0" applyProtection="0"/>
    <xf numFmtId="0" fontId="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50" fillId="31" borderId="0" applyNumberFormat="0" applyBorder="0" applyAlignment="0" applyProtection="0"/>
    <xf numFmtId="0" fontId="4" fillId="33"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 fillId="35" borderId="0" applyNumberFormat="0" applyBorder="0" applyAlignment="0" applyProtection="0"/>
  </cellStyleXfs>
  <cellXfs count="1227">
    <xf numFmtId="0" fontId="0" fillId="0" borderId="0" xfId="0"/>
    <xf numFmtId="0" fontId="0" fillId="0" borderId="0" xfId="0" applyProtection="1">
      <protection locked="0"/>
    </xf>
    <xf numFmtId="0" fontId="14"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Fill="1" applyBorder="1" applyProtection="1">
      <protection locked="0"/>
    </xf>
    <xf numFmtId="0" fontId="13" fillId="0" borderId="0" xfId="0" applyFont="1" applyFill="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Border="1" applyProtection="1">
      <protection locked="0"/>
    </xf>
    <xf numFmtId="165" fontId="0" fillId="0" borderId="0" xfId="0" applyNumberFormat="1" applyBorder="1" applyProtection="1">
      <protection locked="0"/>
    </xf>
    <xf numFmtId="165" fontId="0" fillId="0" borderId="0" xfId="0" applyNumberFormat="1" applyProtection="1">
      <protection locked="0"/>
    </xf>
    <xf numFmtId="165" fontId="0" fillId="0" borderId="0" xfId="0" applyNumberFormat="1" applyBorder="1" applyAlignment="1" applyProtection="1">
      <protection locked="0"/>
    </xf>
    <xf numFmtId="0" fontId="0" fillId="0" borderId="0" xfId="0" applyAlignment="1" applyProtection="1">
      <alignment horizontal="right" vertical="center"/>
      <protection locked="0"/>
    </xf>
    <xf numFmtId="0" fontId="12" fillId="0" borderId="0" xfId="0" applyFont="1" applyAlignment="1" applyProtection="1">
      <alignment horizontal="center"/>
      <protection locked="0"/>
    </xf>
    <xf numFmtId="0" fontId="0" fillId="0" borderId="17" xfId="0" applyBorder="1" applyProtection="1">
      <protection locked="0"/>
    </xf>
    <xf numFmtId="0" fontId="0" fillId="0" borderId="18" xfId="0" applyBorder="1" applyProtection="1">
      <protection locked="0"/>
    </xf>
    <xf numFmtId="0" fontId="0" fillId="0" borderId="18" xfId="0" applyBorder="1" applyAlignment="1" applyProtection="1">
      <alignment horizontal="center"/>
      <protection locked="0"/>
    </xf>
    <xf numFmtId="0" fontId="0" fillId="0" borderId="23" xfId="0" applyBorder="1" applyProtection="1">
      <protection locked="0"/>
    </xf>
    <xf numFmtId="0" fontId="0" fillId="0" borderId="16" xfId="0" applyBorder="1" applyProtection="1">
      <protection locked="0"/>
    </xf>
    <xf numFmtId="0" fontId="0" fillId="0" borderId="18" xfId="0"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Protection="1">
      <protection locked="0"/>
    </xf>
    <xf numFmtId="0" fontId="13" fillId="0" borderId="0" xfId="0" applyFont="1" applyAlignment="1" applyProtection="1">
      <protection locked="0"/>
    </xf>
    <xf numFmtId="0" fontId="14" fillId="0" borderId="0" xfId="0" applyFont="1" applyAlignment="1" applyProtection="1">
      <protection locked="0"/>
    </xf>
    <xf numFmtId="2" fontId="17" fillId="0" borderId="0" xfId="0" applyNumberFormat="1" applyFont="1" applyFill="1"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lignment horizontal="center"/>
    </xf>
    <xf numFmtId="0" fontId="0" fillId="0" borderId="18" xfId="0" applyBorder="1"/>
    <xf numFmtId="0" fontId="0" fillId="0" borderId="23" xfId="0" applyBorder="1"/>
    <xf numFmtId="0" fontId="0" fillId="0" borderId="19" xfId="0" applyBorder="1"/>
    <xf numFmtId="0" fontId="0" fillId="0" borderId="64" xfId="0" applyBorder="1"/>
    <xf numFmtId="0" fontId="0" fillId="0" borderId="66" xfId="0" applyBorder="1"/>
    <xf numFmtId="0" fontId="0" fillId="0" borderId="69" xfId="0" applyBorder="1"/>
    <xf numFmtId="0" fontId="17" fillId="0" borderId="62" xfId="0" applyFont="1" applyBorder="1" applyAlignment="1">
      <alignment horizontal="center"/>
    </xf>
    <xf numFmtId="0" fontId="17" fillId="0" borderId="65" xfId="0" applyFont="1" applyBorder="1" applyAlignment="1">
      <alignment horizontal="center"/>
    </xf>
    <xf numFmtId="0" fontId="17" fillId="0" borderId="0" xfId="0" applyFont="1" applyBorder="1"/>
    <xf numFmtId="0" fontId="17" fillId="0" borderId="65" xfId="0" applyFont="1" applyBorder="1" applyAlignment="1">
      <alignment horizontal="left"/>
    </xf>
    <xf numFmtId="0" fontId="17" fillId="0" borderId="67" xfId="0" applyFont="1" applyBorder="1" applyAlignment="1">
      <alignment horizontal="center"/>
    </xf>
    <xf numFmtId="0" fontId="17" fillId="0" borderId="68" xfId="0" applyFont="1" applyBorder="1"/>
    <xf numFmtId="0" fontId="17" fillId="0" borderId="0" xfId="0" applyFont="1" applyBorder="1" applyAlignment="1">
      <alignment horizontal="center"/>
    </xf>
    <xf numFmtId="0" fontId="17" fillId="0" borderId="63" xfId="0" applyFont="1" applyBorder="1"/>
    <xf numFmtId="0" fontId="0" fillId="0" borderId="70" xfId="0" applyBorder="1"/>
    <xf numFmtId="0" fontId="0" fillId="0" borderId="71" xfId="0" applyBorder="1"/>
    <xf numFmtId="0" fontId="13" fillId="0" borderId="18" xfId="0" applyFont="1" applyBorder="1" applyAlignment="1" applyProtection="1">
      <alignment horizontal="center"/>
      <protection locked="0"/>
    </xf>
    <xf numFmtId="0" fontId="13" fillId="0" borderId="0" xfId="0" applyFont="1" applyBorder="1" applyAlignment="1" applyProtection="1">
      <alignment horizontal="center"/>
      <protection locked="0"/>
    </xf>
    <xf numFmtId="166"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1" fontId="0" fillId="0" borderId="0" xfId="0" applyNumberFormat="1" applyProtection="1">
      <protection locked="0"/>
    </xf>
    <xf numFmtId="0" fontId="0" fillId="0" borderId="7"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9" xfId="0" applyBorder="1" applyAlignment="1" applyProtection="1">
      <alignment horizontal="center"/>
      <protection locked="0"/>
    </xf>
    <xf numFmtId="0" fontId="13" fillId="0" borderId="47" xfId="0" applyFont="1" applyBorder="1" applyAlignment="1" applyProtection="1">
      <alignment horizontal="center"/>
      <protection locked="0"/>
    </xf>
    <xf numFmtId="166" fontId="0" fillId="0" borderId="83" xfId="0" applyNumberFormat="1" applyBorder="1" applyAlignment="1" applyProtection="1">
      <alignment horizontal="center"/>
      <protection locked="0"/>
    </xf>
    <xf numFmtId="0" fontId="0" fillId="0" borderId="6" xfId="0" applyBorder="1" applyProtection="1">
      <protection locked="0"/>
    </xf>
    <xf numFmtId="0" fontId="0" fillId="0" borderId="6" xfId="0" applyBorder="1" applyAlignment="1" applyProtection="1">
      <alignment horizontal="center"/>
      <protection locked="0"/>
    </xf>
    <xf numFmtId="0" fontId="0" fillId="0" borderId="9" xfId="0" applyBorder="1" applyProtection="1">
      <protection locked="0"/>
    </xf>
    <xf numFmtId="0" fontId="0" fillId="0" borderId="0" xfId="0" applyBorder="1" applyAlignment="1" applyProtection="1">
      <alignment horizontal="center"/>
      <protection locked="0"/>
    </xf>
    <xf numFmtId="0" fontId="0" fillId="0" borderId="7" xfId="0" applyBorder="1" applyProtection="1">
      <protection locked="0"/>
    </xf>
    <xf numFmtId="0" fontId="0" fillId="0" borderId="9" xfId="0" applyBorder="1" applyAlignment="1" applyProtection="1">
      <alignment horizontal="right" vertical="center"/>
      <protection locked="0"/>
    </xf>
    <xf numFmtId="0" fontId="0" fillId="0" borderId="43" xfId="0" applyBorder="1" applyProtection="1">
      <protection locked="0"/>
    </xf>
    <xf numFmtId="0" fontId="0" fillId="0" borderId="42" xfId="0" applyBorder="1" applyProtection="1">
      <protection locked="0"/>
    </xf>
    <xf numFmtId="0" fontId="0" fillId="0" borderId="7" xfId="0" applyBorder="1" applyAlignment="1" applyProtection="1">
      <alignment horizontal="right" vertical="center"/>
      <protection locked="0"/>
    </xf>
    <xf numFmtId="0" fontId="38" fillId="19" borderId="8" xfId="0" applyFont="1" applyFill="1" applyBorder="1" applyAlignment="1" applyProtection="1">
      <alignment horizontal="center"/>
      <protection locked="0"/>
    </xf>
    <xf numFmtId="0" fontId="38" fillId="19" borderId="9" xfId="0" applyFont="1" applyFill="1" applyBorder="1" applyAlignment="1" applyProtection="1">
      <alignment horizontal="center"/>
      <protection locked="0"/>
    </xf>
    <xf numFmtId="0" fontId="8" fillId="29" borderId="31" xfId="12" applyBorder="1" applyAlignment="1" applyProtection="1">
      <protection locked="0"/>
    </xf>
    <xf numFmtId="0" fontId="8" fillId="29" borderId="33" xfId="12" applyBorder="1" applyAlignment="1" applyProtection="1">
      <protection locked="0"/>
    </xf>
    <xf numFmtId="0" fontId="22" fillId="5" borderId="8" xfId="0" applyFont="1" applyFill="1" applyBorder="1" applyAlignment="1" applyProtection="1">
      <alignment horizontal="center" vertical="center" wrapText="1" readingOrder="1"/>
      <protection locked="0"/>
    </xf>
    <xf numFmtId="0" fontId="22" fillId="6" borderId="9" xfId="0" applyFont="1" applyFill="1" applyBorder="1" applyAlignment="1" applyProtection="1">
      <alignment horizontal="center" vertical="center" wrapText="1" readingOrder="1"/>
      <protection locked="0"/>
    </xf>
    <xf numFmtId="14" fontId="21" fillId="3" borderId="8" xfId="0" applyNumberFormat="1" applyFont="1" applyFill="1" applyBorder="1" applyAlignment="1" applyProtection="1">
      <alignment horizontal="center" vertical="center" wrapText="1" readingOrder="1"/>
      <protection locked="0"/>
    </xf>
    <xf numFmtId="14" fontId="21" fillId="3" borderId="79" xfId="0" applyNumberFormat="1" applyFont="1" applyFill="1" applyBorder="1" applyAlignment="1" applyProtection="1">
      <alignment horizontal="center" vertical="center" wrapText="1" readingOrder="1"/>
      <protection locked="0"/>
    </xf>
    <xf numFmtId="0" fontId="22" fillId="6" borderId="8" xfId="0" applyFont="1" applyFill="1" applyBorder="1" applyAlignment="1" applyProtection="1">
      <alignment horizontal="center" vertical="center" wrapText="1" readingOrder="1"/>
      <protection locked="0"/>
    </xf>
    <xf numFmtId="0" fontId="22" fillId="5" borderId="83" xfId="0" applyFont="1" applyFill="1" applyBorder="1" applyAlignment="1" applyProtection="1">
      <alignment horizontal="center" vertical="center" wrapText="1" readingOrder="1"/>
      <protection locked="0"/>
    </xf>
    <xf numFmtId="165" fontId="0" fillId="0" borderId="0" xfId="0" applyNumberFormat="1" applyBorder="1" applyAlignment="1" applyProtection="1">
      <alignment horizontal="center" vertical="center"/>
      <protection locked="0"/>
    </xf>
    <xf numFmtId="165" fontId="0" fillId="0" borderId="0" xfId="0" applyNumberFormat="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11" fillId="0" borderId="0"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164" fontId="0" fillId="0" borderId="0" xfId="0" applyNumberFormat="1" applyBorder="1" applyAlignment="1" applyProtection="1">
      <alignment vertical="center" wrapText="1"/>
      <protection locked="0"/>
    </xf>
    <xf numFmtId="0" fontId="0" fillId="0" borderId="0" xfId="0" applyBorder="1" applyAlignment="1" applyProtection="1">
      <alignment vertical="center" wrapText="1"/>
      <protection locked="0"/>
    </xf>
    <xf numFmtId="14" fontId="0" fillId="0" borderId="0" xfId="0" applyNumberFormat="1" applyBorder="1" applyAlignment="1" applyProtection="1">
      <alignment vertical="center" wrapText="1"/>
      <protection locked="0"/>
    </xf>
    <xf numFmtId="0" fontId="22" fillId="20" borderId="79" xfId="0" applyFont="1" applyFill="1" applyBorder="1" applyAlignment="1" applyProtection="1">
      <alignment horizontal="center" vertical="center" wrapText="1" readingOrder="1"/>
      <protection locked="0"/>
    </xf>
    <xf numFmtId="0" fontId="14" fillId="0" borderId="18" xfId="0" applyFont="1" applyFill="1" applyBorder="1" applyAlignment="1" applyProtection="1">
      <protection locked="0"/>
    </xf>
    <xf numFmtId="0" fontId="14" fillId="0" borderId="15" xfId="0" applyFont="1" applyFill="1" applyBorder="1" applyAlignment="1" applyProtection="1">
      <protection locked="0"/>
    </xf>
    <xf numFmtId="0" fontId="98" fillId="0" borderId="0" xfId="0" applyFont="1" applyAlignment="1" applyProtection="1">
      <alignment vertical="center" wrapText="1"/>
      <protection locked="0"/>
    </xf>
    <xf numFmtId="0" fontId="100" fillId="0" borderId="0" xfId="0" applyFont="1" applyAlignment="1" applyProtection="1">
      <alignment horizontal="center" vertical="center"/>
      <protection locked="0"/>
    </xf>
    <xf numFmtId="0" fontId="101" fillId="0" borderId="0" xfId="0" applyFont="1" applyAlignment="1" applyProtection="1">
      <alignment vertical="center" wrapText="1"/>
      <protection locked="0"/>
    </xf>
    <xf numFmtId="0" fontId="50" fillId="26" borderId="8" xfId="9" applyBorder="1" applyAlignment="1" applyProtection="1">
      <alignment horizontal="left" vertical="center"/>
      <protection hidden="1"/>
    </xf>
    <xf numFmtId="0" fontId="20" fillId="3" borderId="8" xfId="0" applyFont="1" applyFill="1" applyBorder="1" applyAlignment="1" applyProtection="1">
      <alignment horizontal="left" vertical="center" wrapText="1" readingOrder="1"/>
      <protection hidden="1"/>
    </xf>
    <xf numFmtId="14" fontId="20" fillId="3" borderId="108" xfId="0" applyNumberFormat="1" applyFont="1" applyFill="1" applyBorder="1" applyAlignment="1" applyProtection="1">
      <alignment horizontal="left" vertical="center" wrapText="1" readingOrder="1"/>
      <protection hidden="1"/>
    </xf>
    <xf numFmtId="0" fontId="22" fillId="5" borderId="8" xfId="0" applyFont="1" applyFill="1" applyBorder="1" applyAlignment="1" applyProtection="1">
      <alignment horizontal="left" vertical="center" wrapText="1" readingOrder="1"/>
      <protection hidden="1"/>
    </xf>
    <xf numFmtId="0" fontId="22" fillId="6" borderId="8" xfId="0" applyFont="1" applyFill="1" applyBorder="1" applyAlignment="1" applyProtection="1">
      <alignment horizontal="left" vertical="center" wrapText="1" readingOrder="1"/>
      <protection hidden="1"/>
    </xf>
    <xf numFmtId="1" fontId="38" fillId="19" borderId="8" xfId="0" applyNumberFormat="1" applyFont="1" applyFill="1" applyBorder="1" applyAlignment="1" applyProtection="1">
      <alignment horizontal="center" vertical="center"/>
      <protection hidden="1"/>
    </xf>
    <xf numFmtId="0" fontId="38" fillId="19" borderId="11" xfId="0" applyFont="1" applyFill="1" applyBorder="1" applyAlignment="1" applyProtection="1">
      <alignment horizontal="center" vertical="center"/>
      <protection hidden="1"/>
    </xf>
    <xf numFmtId="0" fontId="12" fillId="0" borderId="0" xfId="0" applyFont="1" applyProtection="1">
      <protection hidden="1"/>
    </xf>
    <xf numFmtId="0" fontId="12" fillId="0" borderId="0" xfId="0" applyFont="1" applyAlignment="1" applyProtection="1">
      <alignment horizontal="center" vertical="center"/>
      <protection hidden="1"/>
    </xf>
    <xf numFmtId="2" fontId="38" fillId="19" borderId="109" xfId="0" applyNumberFormat="1" applyFont="1" applyFill="1" applyBorder="1" applyAlignment="1" applyProtection="1">
      <alignment horizontal="center" vertical="center"/>
      <protection hidden="1"/>
    </xf>
    <xf numFmtId="2" fontId="38" fillId="19" borderId="19" xfId="0" applyNumberFormat="1" applyFont="1" applyFill="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2" fontId="38" fillId="19" borderId="30" xfId="0" applyNumberFormat="1" applyFont="1" applyFill="1" applyBorder="1" applyAlignment="1" applyProtection="1">
      <alignment horizontal="center" vertical="center"/>
      <protection hidden="1"/>
    </xf>
    <xf numFmtId="2" fontId="38" fillId="19" borderId="76" xfId="0" applyNumberFormat="1" applyFont="1" applyFill="1" applyBorder="1" applyAlignment="1" applyProtection="1">
      <alignment horizontal="center" vertical="center"/>
      <protection hidden="1"/>
    </xf>
    <xf numFmtId="2" fontId="38" fillId="19" borderId="36" xfId="0" applyNumberFormat="1" applyFont="1" applyFill="1" applyBorder="1" applyAlignment="1" applyProtection="1">
      <alignment horizontal="center" vertical="center"/>
      <protection hidden="1"/>
    </xf>
    <xf numFmtId="0" fontId="0" fillId="0" borderId="0" xfId="0" applyProtection="1">
      <protection hidden="1"/>
    </xf>
    <xf numFmtId="0" fontId="0" fillId="0" borderId="18" xfId="0" applyBorder="1" applyAlignment="1" applyProtection="1">
      <alignment horizontal="center" vertical="center"/>
      <protection hidden="1"/>
    </xf>
    <xf numFmtId="0" fontId="44" fillId="17" borderId="8" xfId="0" applyFont="1" applyFill="1" applyBorder="1" applyAlignment="1" applyProtection="1">
      <alignment horizontal="center" vertical="center"/>
      <protection hidden="1"/>
    </xf>
    <xf numFmtId="0" fontId="44" fillId="19" borderId="36" xfId="0" applyFont="1" applyFill="1" applyBorder="1" applyAlignment="1" applyProtection="1">
      <alignment horizontal="center"/>
      <protection hidden="1"/>
    </xf>
    <xf numFmtId="0" fontId="56" fillId="22" borderId="9" xfId="5" applyFont="1" applyBorder="1" applyAlignment="1" applyProtection="1">
      <alignment horizontal="center" vertical="center"/>
      <protection hidden="1"/>
    </xf>
    <xf numFmtId="0" fontId="56" fillId="22" borderId="79" xfId="5" applyFont="1" applyBorder="1" applyAlignment="1" applyProtection="1">
      <alignment horizontal="center" vertical="center"/>
      <protection hidden="1"/>
    </xf>
    <xf numFmtId="0" fontId="44" fillId="17" borderId="9" xfId="0" applyFont="1" applyFill="1" applyBorder="1" applyAlignment="1" applyProtection="1">
      <alignment horizontal="center" vertical="center"/>
      <protection hidden="1"/>
    </xf>
    <xf numFmtId="0" fontId="9" fillId="21" borderId="8" xfId="4"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7" xfId="0" applyBorder="1" applyProtection="1">
      <protection hidden="1"/>
    </xf>
    <xf numFmtId="0" fontId="0" fillId="0" borderId="0" xfId="0" applyAlignment="1" applyProtection="1">
      <alignment horizontal="center" vertical="center"/>
      <protection hidden="1"/>
    </xf>
    <xf numFmtId="0" fontId="44" fillId="17" borderId="83" xfId="0" applyFont="1" applyFill="1" applyBorder="1" applyAlignment="1" applyProtection="1">
      <alignment horizontal="center" vertical="center"/>
      <protection hidden="1"/>
    </xf>
    <xf numFmtId="0" fontId="44" fillId="19" borderId="74" xfId="0" applyFont="1" applyFill="1" applyBorder="1" applyAlignment="1" applyProtection="1">
      <alignment horizontal="center"/>
      <protection hidden="1"/>
    </xf>
    <xf numFmtId="165" fontId="0" fillId="0" borderId="0" xfId="0" applyNumberFormat="1" applyBorder="1" applyAlignment="1" applyProtection="1">
      <alignment horizontal="center" vertical="center"/>
      <protection hidden="1"/>
    </xf>
    <xf numFmtId="0" fontId="44" fillId="19" borderId="35" xfId="0" applyFont="1" applyFill="1" applyBorder="1" applyAlignment="1" applyProtection="1">
      <alignment horizontal="center"/>
      <protection hidden="1"/>
    </xf>
    <xf numFmtId="0" fontId="21" fillId="3" borderId="91" xfId="0" applyFont="1" applyFill="1" applyBorder="1" applyAlignment="1" applyProtection="1">
      <alignment horizontal="center" vertical="center" wrapText="1" readingOrder="1"/>
      <protection hidden="1"/>
    </xf>
    <xf numFmtId="0" fontId="22" fillId="5" borderId="8" xfId="0" applyFont="1" applyFill="1" applyBorder="1" applyAlignment="1" applyProtection="1">
      <alignment horizontal="center" vertical="center" wrapText="1" readingOrder="1"/>
      <protection hidden="1"/>
    </xf>
    <xf numFmtId="0" fontId="22" fillId="6" borderId="9" xfId="0" applyFont="1" applyFill="1" applyBorder="1" applyAlignment="1" applyProtection="1">
      <alignment horizontal="center" vertical="center" wrapText="1" readingOrder="1"/>
      <protection hidden="1"/>
    </xf>
    <xf numFmtId="0" fontId="57" fillId="3" borderId="83" xfId="0" applyFont="1" applyFill="1" applyBorder="1" applyAlignment="1" applyProtection="1">
      <alignment horizontal="center" vertical="center" wrapText="1" readingOrder="1"/>
      <protection hidden="1"/>
    </xf>
    <xf numFmtId="0" fontId="57" fillId="3" borderId="8" xfId="0" applyFont="1" applyFill="1" applyBorder="1" applyAlignment="1" applyProtection="1">
      <alignment horizontal="center" vertical="center" wrapText="1" readingOrder="1"/>
      <protection hidden="1"/>
    </xf>
    <xf numFmtId="0" fontId="22" fillId="6" borderId="79" xfId="0" applyFont="1" applyFill="1" applyBorder="1" applyAlignment="1" applyProtection="1">
      <alignment horizontal="center" vertical="center" wrapText="1" readingOrder="1"/>
      <protection hidden="1"/>
    </xf>
    <xf numFmtId="0" fontId="22" fillId="6" borderId="83" xfId="0" applyFont="1" applyFill="1" applyBorder="1" applyAlignment="1" applyProtection="1">
      <alignment horizontal="center" vertical="center" wrapText="1" readingOrder="1"/>
      <protection hidden="1"/>
    </xf>
    <xf numFmtId="0" fontId="22" fillId="5" borderId="9" xfId="0" applyFont="1" applyFill="1" applyBorder="1" applyAlignment="1" applyProtection="1">
      <alignment horizontal="center" vertical="center" wrapText="1" readingOrder="1"/>
      <protection hidden="1"/>
    </xf>
    <xf numFmtId="0" fontId="22" fillId="5" borderId="9" xfId="0" applyFont="1" applyFill="1" applyBorder="1" applyAlignment="1" applyProtection="1">
      <alignment horizontal="left" vertical="center" wrapText="1" readingOrder="1"/>
      <protection hidden="1"/>
    </xf>
    <xf numFmtId="0" fontId="22" fillId="5" borderId="83" xfId="0" applyFont="1" applyFill="1" applyBorder="1" applyAlignment="1" applyProtection="1">
      <alignment horizontal="center" vertical="center" wrapText="1" readingOrder="1"/>
      <protection hidden="1"/>
    </xf>
    <xf numFmtId="0" fontId="10" fillId="15" borderId="8" xfId="2" applyBorder="1" applyAlignment="1" applyProtection="1">
      <alignment horizontal="center" vertical="center"/>
      <protection hidden="1"/>
    </xf>
    <xf numFmtId="165" fontId="0" fillId="18" borderId="8" xfId="0" applyNumberFormat="1" applyFill="1" applyBorder="1" applyAlignment="1" applyProtection="1">
      <alignment horizontal="center" vertical="center"/>
      <protection hidden="1"/>
    </xf>
    <xf numFmtId="165" fontId="0" fillId="18" borderId="47" xfId="0" applyNumberFormat="1" applyFill="1" applyBorder="1" applyAlignment="1" applyProtection="1">
      <alignment horizontal="center" vertical="center"/>
      <protection hidden="1"/>
    </xf>
    <xf numFmtId="0" fontId="10" fillId="15" borderId="9" xfId="2" applyBorder="1" applyAlignment="1" applyProtection="1">
      <alignment horizontal="center" vertical="center"/>
      <protection hidden="1"/>
    </xf>
    <xf numFmtId="165" fontId="0" fillId="18" borderId="9" xfId="0" applyNumberFormat="1" applyFill="1" applyBorder="1" applyAlignment="1" applyProtection="1">
      <alignment horizontal="center" vertical="center"/>
      <protection hidden="1"/>
    </xf>
    <xf numFmtId="165" fontId="0" fillId="18" borderId="18" xfId="0" applyNumberFormat="1" applyFill="1" applyBorder="1" applyAlignment="1" applyProtection="1">
      <alignment horizontal="center" vertical="center"/>
      <protection hidden="1"/>
    </xf>
    <xf numFmtId="0" fontId="22" fillId="32" borderId="79" xfId="0" applyFont="1" applyFill="1" applyBorder="1" applyAlignment="1" applyProtection="1">
      <alignment horizontal="left" vertical="center" wrapText="1" readingOrder="1"/>
      <protection hidden="1"/>
    </xf>
    <xf numFmtId="0" fontId="22" fillId="32" borderId="9" xfId="0" applyFont="1" applyFill="1" applyBorder="1" applyAlignment="1" applyProtection="1">
      <alignment horizontal="left" vertical="center" wrapText="1" readingOrder="1"/>
      <protection hidden="1"/>
    </xf>
    <xf numFmtId="0" fontId="22" fillId="32" borderId="83" xfId="0" applyFont="1" applyFill="1" applyBorder="1" applyAlignment="1" applyProtection="1">
      <alignment horizontal="left" vertical="center" wrapText="1" readingOrder="1"/>
      <protection hidden="1"/>
    </xf>
    <xf numFmtId="0" fontId="22" fillId="5" borderId="7" xfId="0" applyFont="1" applyFill="1" applyBorder="1" applyAlignment="1" applyProtection="1">
      <alignment horizontal="center" vertical="center" wrapText="1" readingOrder="1"/>
      <protection hidden="1"/>
    </xf>
    <xf numFmtId="0" fontId="22" fillId="5" borderId="7" xfId="0" applyFont="1" applyFill="1" applyBorder="1" applyAlignment="1" applyProtection="1">
      <alignment horizontal="left" vertical="center" wrapText="1" readingOrder="1"/>
      <protection hidden="1"/>
    </xf>
    <xf numFmtId="0" fontId="22" fillId="5" borderId="42" xfId="0" applyFont="1" applyFill="1" applyBorder="1" applyAlignment="1" applyProtection="1">
      <alignment horizontal="center" vertical="center" wrapText="1" readingOrder="1"/>
      <protection hidden="1"/>
    </xf>
    <xf numFmtId="0" fontId="52" fillId="9" borderId="8" xfId="0" applyFont="1" applyFill="1" applyBorder="1" applyAlignment="1" applyProtection="1">
      <alignment horizontal="center" vertical="center"/>
      <protection hidden="1"/>
    </xf>
    <xf numFmtId="0" fontId="56" fillId="27" borderId="8" xfId="10" applyFont="1" applyBorder="1" applyAlignment="1" applyProtection="1">
      <alignment horizontal="center" vertical="center" wrapText="1"/>
      <protection hidden="1"/>
    </xf>
    <xf numFmtId="0" fontId="0" fillId="0" borderId="0" xfId="0"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8" fillId="28" borderId="0" xfId="11" applyBorder="1" applyAlignment="1" applyProtection="1">
      <alignment horizontal="center" vertical="center"/>
      <protection hidden="1"/>
    </xf>
    <xf numFmtId="0" fontId="8" fillId="28" borderId="18" xfId="1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horizontal="center" vertical="center"/>
      <protection hidden="1"/>
    </xf>
    <xf numFmtId="0" fontId="56" fillId="27" borderId="96" xfId="10" applyFont="1" applyBorder="1" applyAlignment="1" applyProtection="1">
      <alignment horizontal="center" vertical="center" wrapText="1"/>
      <protection hidden="1"/>
    </xf>
    <xf numFmtId="166" fontId="0" fillId="0" borderId="0" xfId="0" applyNumberFormat="1" applyProtection="1">
      <protection hidden="1"/>
    </xf>
    <xf numFmtId="0" fontId="0" fillId="0" borderId="17"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56" fillId="27" borderId="79" xfId="10" applyFont="1" applyBorder="1" applyAlignment="1" applyProtection="1">
      <alignment horizontal="center" vertical="center" wrapText="1"/>
      <protection hidden="1"/>
    </xf>
    <xf numFmtId="0" fontId="56" fillId="27" borderId="83" xfId="10" applyFont="1" applyBorder="1" applyAlignment="1" applyProtection="1">
      <alignment horizontal="center" vertical="center"/>
      <protection hidden="1"/>
    </xf>
    <xf numFmtId="0" fontId="56" fillId="24" borderId="8" xfId="7" applyFont="1" applyBorder="1" applyAlignment="1" applyProtection="1">
      <alignment horizontal="center" vertical="center" wrapText="1"/>
      <protection hidden="1"/>
    </xf>
    <xf numFmtId="165" fontId="0" fillId="0" borderId="0" xfId="0" applyNumberFormat="1" applyProtection="1">
      <protection hidden="1"/>
    </xf>
    <xf numFmtId="0" fontId="56" fillId="24" borderId="79" xfId="7" applyFont="1" applyBorder="1" applyAlignment="1" applyProtection="1">
      <alignment horizontal="center" vertical="center" wrapText="1"/>
      <protection hidden="1"/>
    </xf>
    <xf numFmtId="0" fontId="56" fillId="24" borderId="83" xfId="7" applyFont="1" applyBorder="1" applyAlignment="1" applyProtection="1">
      <alignment horizontal="center" vertical="center" wrapText="1"/>
      <protection hidden="1"/>
    </xf>
    <xf numFmtId="0" fontId="50" fillId="26" borderId="8" xfId="9" applyFont="1" applyBorder="1" applyAlignment="1" applyProtection="1">
      <alignment horizontal="left" vertical="center" wrapText="1"/>
      <protection hidden="1"/>
    </xf>
    <xf numFmtId="0" fontId="70" fillId="26" borderId="46" xfId="9" applyFont="1" applyBorder="1" applyAlignment="1" applyProtection="1">
      <alignment horizontal="left" vertical="center"/>
      <protection hidden="1"/>
    </xf>
    <xf numFmtId="0" fontId="0" fillId="0" borderId="41" xfId="0" applyBorder="1" applyProtection="1">
      <protection hidden="1"/>
    </xf>
    <xf numFmtId="0" fontId="0" fillId="0" borderId="23" xfId="0" applyBorder="1" applyProtection="1">
      <protection hidden="1"/>
    </xf>
    <xf numFmtId="0" fontId="0" fillId="0" borderId="2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7" xfId="0" applyBorder="1" applyAlignment="1" applyProtection="1">
      <alignment horizontal="center"/>
      <protection hidden="1"/>
    </xf>
    <xf numFmtId="0" fontId="13" fillId="0" borderId="0" xfId="0" applyFont="1" applyProtection="1">
      <protection hidden="1"/>
    </xf>
    <xf numFmtId="0" fontId="0" fillId="0" borderId="0" xfId="0" applyBorder="1" applyAlignment="1" applyProtection="1">
      <alignment horizontal="center"/>
      <protection hidden="1"/>
    </xf>
    <xf numFmtId="0" fontId="37" fillId="10" borderId="8" xfId="0" applyFont="1" applyFill="1" applyBorder="1" applyAlignment="1" applyProtection="1">
      <alignment horizontal="center" vertical="center" wrapText="1"/>
      <protection hidden="1"/>
    </xf>
    <xf numFmtId="0" fontId="44" fillId="10" borderId="8" xfId="0" applyFont="1" applyFill="1" applyBorder="1" applyAlignment="1" applyProtection="1">
      <alignment horizontal="center" vertical="center" wrapText="1"/>
      <protection hidden="1"/>
    </xf>
    <xf numFmtId="0" fontId="44" fillId="10" borderId="47" xfId="0" applyFont="1" applyFill="1" applyBorder="1" applyAlignment="1" applyProtection="1">
      <alignment horizontal="center" vertical="center" wrapText="1"/>
      <protection hidden="1"/>
    </xf>
    <xf numFmtId="0" fontId="13" fillId="0" borderId="0" xfId="0" applyFont="1" applyAlignment="1" applyProtection="1">
      <alignment horizontal="center"/>
      <protection hidden="1"/>
    </xf>
    <xf numFmtId="165" fontId="38" fillId="20" borderId="8" xfId="0" applyNumberFormat="1" applyFont="1" applyFill="1" applyBorder="1" applyAlignment="1" applyProtection="1">
      <alignment horizontal="center" vertical="center"/>
      <protection hidden="1"/>
    </xf>
    <xf numFmtId="0" fontId="38" fillId="20" borderId="33" xfId="0" applyFont="1" applyFill="1" applyBorder="1" applyAlignment="1" applyProtection="1">
      <alignment horizontal="left" vertical="center"/>
      <protection hidden="1"/>
    </xf>
    <xf numFmtId="2" fontId="41" fillId="14" borderId="9" xfId="1" applyNumberFormat="1" applyFont="1" applyBorder="1" applyAlignment="1" applyProtection="1">
      <alignment horizontal="center" vertical="center"/>
      <protection hidden="1"/>
    </xf>
    <xf numFmtId="1" fontId="38" fillId="20" borderId="9" xfId="0" applyNumberFormat="1" applyFont="1" applyFill="1" applyBorder="1" applyAlignment="1" applyProtection="1">
      <alignment horizontal="center" vertical="center"/>
      <protection hidden="1"/>
    </xf>
    <xf numFmtId="0" fontId="38" fillId="20" borderId="7" xfId="0" applyFont="1" applyFill="1" applyBorder="1" applyAlignment="1" applyProtection="1">
      <alignment horizontal="center" vertical="center"/>
      <protection hidden="1"/>
    </xf>
    <xf numFmtId="0" fontId="38" fillId="20" borderId="8" xfId="0" applyFont="1" applyFill="1" applyBorder="1" applyAlignment="1" applyProtection="1">
      <alignment horizontal="left" vertical="center"/>
      <protection hidden="1"/>
    </xf>
    <xf numFmtId="2" fontId="38" fillId="9" borderId="8" xfId="0" applyNumberFormat="1" applyFont="1" applyFill="1" applyBorder="1" applyAlignment="1" applyProtection="1">
      <alignment horizontal="center" vertical="center"/>
      <protection hidden="1"/>
    </xf>
    <xf numFmtId="0" fontId="38" fillId="20" borderId="8" xfId="0" applyFont="1" applyFill="1" applyBorder="1" applyAlignment="1" applyProtection="1">
      <alignment horizontal="center" vertical="center"/>
      <protection hidden="1"/>
    </xf>
    <xf numFmtId="2" fontId="38" fillId="20" borderId="47" xfId="0" applyNumberFormat="1" applyFont="1" applyFill="1" applyBorder="1" applyAlignment="1" applyProtection="1">
      <alignment horizontal="center" vertical="center"/>
      <protection hidden="1"/>
    </xf>
    <xf numFmtId="2" fontId="56" fillId="16" borderId="8" xfId="3" applyNumberFormat="1" applyFont="1" applyBorder="1" applyAlignment="1" applyProtection="1">
      <alignment horizontal="center" vertical="center"/>
      <protection hidden="1"/>
    </xf>
    <xf numFmtId="1" fontId="38" fillId="20" borderId="8" xfId="0" applyNumberFormat="1" applyFont="1" applyFill="1" applyBorder="1" applyAlignment="1" applyProtection="1">
      <alignment horizontal="center" vertical="center"/>
      <protection hidden="1"/>
    </xf>
    <xf numFmtId="0" fontId="44" fillId="0" borderId="35" xfId="0" applyFont="1" applyBorder="1" applyProtection="1">
      <protection hidden="1"/>
    </xf>
    <xf numFmtId="0" fontId="0" fillId="0" borderId="11" xfId="0" applyBorder="1" applyAlignment="1" applyProtection="1">
      <alignment horizontal="center"/>
      <protection hidden="1"/>
    </xf>
    <xf numFmtId="0" fontId="37" fillId="10" borderId="110" xfId="0" applyFont="1" applyFill="1" applyBorder="1" applyAlignment="1" applyProtection="1">
      <alignment horizontal="center" vertical="center" wrapText="1"/>
      <protection hidden="1"/>
    </xf>
    <xf numFmtId="0" fontId="44" fillId="10" borderId="105" xfId="0" applyFont="1" applyFill="1" applyBorder="1" applyAlignment="1" applyProtection="1">
      <alignment horizontal="center" vertical="center" wrapText="1"/>
      <protection hidden="1"/>
    </xf>
    <xf numFmtId="0" fontId="44" fillId="10" borderId="36" xfId="0" applyFont="1" applyFill="1" applyBorder="1" applyAlignment="1" applyProtection="1">
      <alignment horizontal="center" vertical="center" wrapText="1"/>
      <protection hidden="1"/>
    </xf>
    <xf numFmtId="0" fontId="38" fillId="20" borderId="110" xfId="0" applyFont="1" applyFill="1" applyBorder="1" applyAlignment="1" applyProtection="1">
      <alignment horizontal="left" vertical="center"/>
      <protection hidden="1"/>
    </xf>
    <xf numFmtId="2" fontId="41" fillId="14" borderId="105" xfId="1" applyNumberFormat="1" applyFont="1" applyBorder="1" applyAlignment="1" applyProtection="1">
      <alignment horizontal="center" vertical="center"/>
      <protection hidden="1"/>
    </xf>
    <xf numFmtId="1" fontId="38" fillId="20" borderId="105" xfId="0" applyNumberFormat="1" applyFont="1" applyFill="1" applyBorder="1" applyAlignment="1" applyProtection="1">
      <alignment horizontal="center" vertical="center"/>
      <protection hidden="1"/>
    </xf>
    <xf numFmtId="2" fontId="38" fillId="20" borderId="105" xfId="0" applyNumberFormat="1" applyFont="1" applyFill="1" applyBorder="1" applyAlignment="1" applyProtection="1">
      <alignment horizontal="center" vertical="center"/>
      <protection hidden="1"/>
    </xf>
    <xf numFmtId="0" fontId="44" fillId="20" borderId="36" xfId="0" applyFont="1" applyFill="1" applyBorder="1" applyAlignment="1" applyProtection="1">
      <alignment horizontal="center"/>
      <protection hidden="1"/>
    </xf>
    <xf numFmtId="2" fontId="38" fillId="9" borderId="105" xfId="0" applyNumberFormat="1" applyFont="1" applyFill="1" applyBorder="1" applyAlignment="1" applyProtection="1">
      <alignment horizontal="center" vertical="center"/>
      <protection hidden="1"/>
    </xf>
    <xf numFmtId="0" fontId="38" fillId="20" borderId="105" xfId="0" applyFont="1" applyFill="1" applyBorder="1" applyAlignment="1" applyProtection="1">
      <alignment horizontal="center" vertical="center"/>
      <protection hidden="1"/>
    </xf>
    <xf numFmtId="2" fontId="56" fillId="16" borderId="105" xfId="3" applyNumberFormat="1" applyFont="1" applyBorder="1" applyAlignment="1" applyProtection="1">
      <alignment horizontal="center" vertical="center"/>
      <protection hidden="1"/>
    </xf>
    <xf numFmtId="2" fontId="41" fillId="7" borderId="105" xfId="0" applyNumberFormat="1" applyFont="1" applyFill="1" applyBorder="1" applyAlignment="1" applyProtection="1">
      <alignment horizontal="center" vertical="center"/>
      <protection hidden="1"/>
    </xf>
    <xf numFmtId="0" fontId="0" fillId="0" borderId="42" xfId="0" applyBorder="1" applyAlignment="1" applyProtection="1">
      <alignment horizontal="center"/>
      <protection hidden="1"/>
    </xf>
    <xf numFmtId="0" fontId="31" fillId="17" borderId="8" xfId="0" applyFont="1" applyFill="1" applyBorder="1" applyAlignment="1" applyProtection="1">
      <alignment horizontal="center" vertical="center"/>
      <protection hidden="1"/>
    </xf>
    <xf numFmtId="0" fontId="0" fillId="0" borderId="36" xfId="0" applyBorder="1" applyAlignment="1" applyProtection="1">
      <alignment horizontal="center"/>
      <protection hidden="1"/>
    </xf>
    <xf numFmtId="0" fontId="0" fillId="0" borderId="30" xfId="0" applyBorder="1" applyProtection="1">
      <protection hidden="1"/>
    </xf>
    <xf numFmtId="0" fontId="0" fillId="0" borderId="26" xfId="0" applyBorder="1" applyProtection="1">
      <protection hidden="1"/>
    </xf>
    <xf numFmtId="0" fontId="0" fillId="0" borderId="16" xfId="0" applyBorder="1" applyProtection="1">
      <protection hidden="1"/>
    </xf>
    <xf numFmtId="0" fontId="31" fillId="17" borderId="43" xfId="0" applyFont="1" applyFill="1" applyBorder="1" applyAlignment="1" applyProtection="1">
      <alignment horizontal="left" vertical="center"/>
      <protection hidden="1"/>
    </xf>
    <xf numFmtId="0" fontId="8" fillId="29" borderId="0" xfId="12" applyAlignment="1" applyProtection="1">
      <alignment horizontal="center"/>
      <protection hidden="1"/>
    </xf>
    <xf numFmtId="0" fontId="8" fillId="29" borderId="18" xfId="12" applyBorder="1" applyAlignment="1" applyProtection="1">
      <alignment horizontal="center"/>
      <protection hidden="1"/>
    </xf>
    <xf numFmtId="0" fontId="31" fillId="23" borderId="79" xfId="6" applyFont="1" applyBorder="1" applyAlignment="1" applyProtection="1">
      <alignment horizontal="left" vertical="center"/>
      <protection hidden="1"/>
    </xf>
    <xf numFmtId="0" fontId="60" fillId="23" borderId="32" xfId="6" applyFont="1" applyBorder="1" applyAlignment="1" applyProtection="1">
      <alignment horizontal="left" vertical="center"/>
      <protection hidden="1"/>
    </xf>
    <xf numFmtId="0" fontId="0" fillId="0" borderId="17" xfId="0" applyBorder="1" applyProtection="1">
      <protection hidden="1"/>
    </xf>
    <xf numFmtId="0" fontId="0" fillId="0" borderId="18" xfId="0" applyBorder="1" applyProtection="1">
      <protection hidden="1"/>
    </xf>
    <xf numFmtId="0" fontId="13" fillId="11" borderId="99" xfId="0" applyFont="1" applyFill="1" applyBorder="1" applyAlignment="1" applyProtection="1">
      <alignment horizontal="center"/>
      <protection hidden="1"/>
    </xf>
    <xf numFmtId="0" fontId="13" fillId="11" borderId="86" xfId="0" applyFont="1" applyFill="1" applyBorder="1" applyAlignment="1" applyProtection="1">
      <alignment horizontal="center"/>
      <protection hidden="1"/>
    </xf>
    <xf numFmtId="2" fontId="9" fillId="21" borderId="86" xfId="4" applyNumberFormat="1" applyBorder="1" applyAlignment="1" applyProtection="1">
      <alignment horizontal="center" vertical="center"/>
      <protection hidden="1"/>
    </xf>
    <xf numFmtId="0" fontId="0" fillId="0" borderId="19" xfId="0" applyBorder="1" applyProtection="1">
      <protection hidden="1"/>
    </xf>
    <xf numFmtId="0" fontId="38" fillId="0" borderId="0" xfId="0" applyFont="1" applyProtection="1">
      <protection hidden="1"/>
    </xf>
    <xf numFmtId="0" fontId="40" fillId="0" borderId="0" xfId="0" applyFont="1" applyAlignment="1" applyProtection="1">
      <alignment horizontal="center"/>
      <protection hidden="1"/>
    </xf>
    <xf numFmtId="0" fontId="38" fillId="0" borderId="0" xfId="0" applyFont="1" applyAlignment="1" applyProtection="1">
      <alignment horizontal="center"/>
      <protection hidden="1"/>
    </xf>
    <xf numFmtId="0" fontId="14"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43" fillId="0" borderId="0" xfId="0" applyFont="1" applyFill="1" applyBorder="1" applyAlignment="1" applyProtection="1">
      <alignment vertical="center" wrapText="1"/>
      <protection hidden="1"/>
    </xf>
    <xf numFmtId="0" fontId="44" fillId="0" borderId="0" xfId="0" applyFont="1" applyProtection="1">
      <protection hidden="1"/>
    </xf>
    <xf numFmtId="0" fontId="44" fillId="0" borderId="0" xfId="0" applyFont="1" applyAlignment="1" applyProtection="1">
      <alignment horizontal="center" vertical="center"/>
      <protection hidden="1"/>
    </xf>
    <xf numFmtId="0" fontId="41" fillId="34" borderId="8" xfId="0" applyFont="1" applyFill="1" applyBorder="1" applyAlignment="1" applyProtection="1">
      <alignment horizontal="left" vertical="center" wrapText="1"/>
      <protection hidden="1"/>
    </xf>
    <xf numFmtId="2" fontId="44" fillId="0" borderId="0" xfId="0" applyNumberFormat="1" applyFont="1" applyProtection="1">
      <protection hidden="1"/>
    </xf>
    <xf numFmtId="0" fontId="41" fillId="34" borderId="32" xfId="0" applyFont="1" applyFill="1" applyBorder="1" applyAlignment="1" applyProtection="1">
      <alignment horizontal="left" vertical="center" wrapText="1"/>
      <protection hidden="1"/>
    </xf>
    <xf numFmtId="0" fontId="44" fillId="0" borderId="36" xfId="0" applyFont="1" applyBorder="1" applyProtection="1">
      <protection hidden="1"/>
    </xf>
    <xf numFmtId="0" fontId="44" fillId="0" borderId="0" xfId="0" applyFont="1" applyAlignment="1" applyProtection="1">
      <alignment horizontal="center"/>
      <protection hidden="1"/>
    </xf>
    <xf numFmtId="0" fontId="16" fillId="0" borderId="1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8" fillId="30" borderId="8" xfId="13"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41" fillId="34" borderId="9" xfId="0" applyFont="1" applyFill="1" applyBorder="1" applyAlignment="1" applyProtection="1">
      <alignment horizontal="left" vertical="center" wrapText="1"/>
      <protection hidden="1"/>
    </xf>
    <xf numFmtId="1" fontId="8" fillId="30" borderId="9" xfId="13" applyNumberFormat="1" applyBorder="1" applyAlignment="1" applyProtection="1">
      <alignment horizontal="center" vertical="center" wrapText="1"/>
      <protection hidden="1"/>
    </xf>
    <xf numFmtId="0" fontId="41" fillId="34" borderId="38" xfId="0" applyFont="1" applyFill="1" applyBorder="1" applyAlignment="1" applyProtection="1">
      <alignment horizontal="left" vertical="center" wrapText="1"/>
      <protection hidden="1"/>
    </xf>
    <xf numFmtId="0" fontId="8" fillId="30" borderId="83" xfId="13" applyBorder="1" applyAlignment="1" applyProtection="1">
      <alignment horizontal="center" vertical="center" wrapText="1"/>
      <protection hidden="1"/>
    </xf>
    <xf numFmtId="0" fontId="12" fillId="4" borderId="50" xfId="0" applyFont="1" applyFill="1" applyBorder="1" applyAlignment="1" applyProtection="1">
      <alignment horizontal="left" vertical="center" wrapText="1"/>
      <protection hidden="1"/>
    </xf>
    <xf numFmtId="2" fontId="8" fillId="30" borderId="9" xfId="13" applyNumberFormat="1" applyBorder="1" applyAlignment="1" applyProtection="1">
      <alignment horizontal="center" vertical="center" wrapText="1"/>
      <protection hidden="1"/>
    </xf>
    <xf numFmtId="0" fontId="31" fillId="0" borderId="5" xfId="0" applyFont="1" applyFill="1" applyBorder="1" applyAlignment="1" applyProtection="1">
      <alignment horizontal="center" vertical="center" wrapText="1"/>
      <protection hidden="1"/>
    </xf>
    <xf numFmtId="0" fontId="31" fillId="0" borderId="43" xfId="0" applyFont="1" applyFill="1" applyBorder="1" applyAlignment="1" applyProtection="1">
      <alignment horizontal="center" vertical="center" wrapText="1"/>
      <protection hidden="1"/>
    </xf>
    <xf numFmtId="2" fontId="8" fillId="30" borderId="8" xfId="13" applyNumberFormat="1" applyBorder="1" applyAlignment="1" applyProtection="1">
      <alignment horizontal="center" vertical="center" wrapText="1"/>
      <protection hidden="1"/>
    </xf>
    <xf numFmtId="2" fontId="8" fillId="30" borderId="11" xfId="13" applyNumberFormat="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28" xfId="0" applyFont="1" applyFill="1" applyBorder="1" applyAlignment="1" applyProtection="1">
      <alignment horizontal="center" vertical="center" wrapText="1"/>
      <protection hidden="1"/>
    </xf>
    <xf numFmtId="0" fontId="16" fillId="0" borderId="24" xfId="0" applyFont="1" applyFill="1" applyBorder="1" applyAlignment="1" applyProtection="1">
      <alignment horizontal="center" vertical="center" wrapText="1"/>
      <protection hidden="1"/>
    </xf>
    <xf numFmtId="0" fontId="0" fillId="0" borderId="24" xfId="0" applyBorder="1" applyProtection="1">
      <protection hidden="1"/>
    </xf>
    <xf numFmtId="0" fontId="41" fillId="34" borderId="107" xfId="0" applyFont="1" applyFill="1" applyBorder="1" applyAlignment="1" applyProtection="1">
      <alignment horizontal="left" vertical="center" wrapText="1"/>
      <protection hidden="1"/>
    </xf>
    <xf numFmtId="0" fontId="36" fillId="13" borderId="0" xfId="0" applyFont="1" applyFill="1" applyBorder="1" applyAlignment="1" applyProtection="1">
      <alignment horizontal="left" vertical="center" wrapText="1"/>
      <protection hidden="1"/>
    </xf>
    <xf numFmtId="0" fontId="12" fillId="13" borderId="0" xfId="0" applyFont="1" applyFill="1" applyBorder="1" applyAlignment="1" applyProtection="1">
      <alignment horizontal="center" vertical="center" wrapText="1"/>
      <protection hidden="1"/>
    </xf>
    <xf numFmtId="0" fontId="36" fillId="13" borderId="23" xfId="0" applyFont="1" applyFill="1" applyBorder="1" applyAlignment="1" applyProtection="1">
      <alignment horizontal="left" vertical="center" wrapText="1"/>
      <protection hidden="1"/>
    </xf>
    <xf numFmtId="0" fontId="12" fillId="13" borderId="23" xfId="0" applyFont="1" applyFill="1" applyBorder="1" applyAlignment="1" applyProtection="1">
      <alignment horizontal="center" vertical="center" wrapText="1"/>
      <protection hidden="1"/>
    </xf>
    <xf numFmtId="0" fontId="0" fillId="0" borderId="23" xfId="0" applyBorder="1" applyAlignment="1" applyProtection="1">
      <alignment horizontal="center" vertical="center"/>
      <protection hidden="1"/>
    </xf>
    <xf numFmtId="0" fontId="14" fillId="0" borderId="29"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41" fillId="37" borderId="17" xfId="0" applyFont="1" applyFill="1" applyBorder="1" applyProtection="1">
      <protection hidden="1"/>
    </xf>
    <xf numFmtId="0" fontId="14" fillId="0" borderId="0" xfId="0" applyFont="1" applyFill="1" applyBorder="1" applyAlignment="1" applyProtection="1">
      <alignment vertical="center" wrapText="1"/>
      <protection hidden="1"/>
    </xf>
    <xf numFmtId="0" fontId="41" fillId="37" borderId="8" xfId="0" applyFont="1" applyFill="1" applyBorder="1" applyAlignment="1" applyProtection="1">
      <alignment horizontal="left" vertical="center" wrapText="1"/>
      <protection hidden="1"/>
    </xf>
    <xf numFmtId="2" fontId="0" fillId="0" borderId="0" xfId="0" applyNumberFormat="1" applyProtection="1">
      <protection hidden="1"/>
    </xf>
    <xf numFmtId="0" fontId="41" fillId="37" borderId="107" xfId="0" applyFont="1" applyFill="1" applyBorder="1" applyAlignment="1" applyProtection="1">
      <alignment horizontal="left" vertical="center" wrapText="1"/>
      <protection hidden="1"/>
    </xf>
    <xf numFmtId="0" fontId="44" fillId="0" borderId="26" xfId="0" applyFont="1" applyBorder="1" applyProtection="1">
      <protection hidden="1"/>
    </xf>
    <xf numFmtId="0" fontId="0" fillId="0" borderId="26" xfId="0" applyBorder="1" applyAlignment="1" applyProtection="1">
      <alignment horizontal="center"/>
      <protection hidden="1"/>
    </xf>
    <xf numFmtId="2" fontId="8" fillId="11" borderId="8" xfId="12" applyNumberFormat="1" applyFill="1" applyBorder="1" applyAlignment="1" applyProtection="1">
      <alignment horizontal="center" vertical="center" wrapText="1"/>
      <protection hidden="1"/>
    </xf>
    <xf numFmtId="0" fontId="41" fillId="37" borderId="106" xfId="0" applyFont="1" applyFill="1" applyBorder="1" applyAlignment="1" applyProtection="1">
      <alignment horizontal="left" vertical="center" wrapText="1"/>
      <protection hidden="1"/>
    </xf>
    <xf numFmtId="2" fontId="8" fillId="11" borderId="9" xfId="12" applyNumberFormat="1" applyFill="1" applyBorder="1" applyAlignment="1" applyProtection="1">
      <alignment horizontal="center" vertical="center" wrapText="1"/>
      <protection hidden="1"/>
    </xf>
    <xf numFmtId="0" fontId="8" fillId="11" borderId="8" xfId="12" applyFill="1" applyBorder="1" applyAlignment="1" applyProtection="1">
      <alignment horizontal="center" vertical="center" wrapText="1"/>
      <protection hidden="1"/>
    </xf>
    <xf numFmtId="167" fontId="31" fillId="0" borderId="0" xfId="0" applyNumberFormat="1" applyFont="1" applyFill="1" applyBorder="1" applyAlignment="1" applyProtection="1">
      <alignment horizontal="center" vertical="center" wrapText="1"/>
      <protection hidden="1"/>
    </xf>
    <xf numFmtId="0" fontId="8" fillId="11" borderId="9" xfId="12" applyFill="1" applyBorder="1" applyAlignment="1" applyProtection="1">
      <alignment horizontal="center" vertical="center" wrapText="1"/>
      <protection hidden="1"/>
    </xf>
    <xf numFmtId="2" fontId="8" fillId="11" borderId="79" xfId="12" applyNumberFormat="1" applyFill="1" applyBorder="1" applyAlignment="1" applyProtection="1">
      <alignment horizontal="center" vertical="center" wrapText="1"/>
      <protection hidden="1"/>
    </xf>
    <xf numFmtId="2" fontId="8" fillId="11" borderId="35" xfId="12" applyNumberFormat="1" applyFill="1" applyBorder="1" applyAlignment="1" applyProtection="1">
      <alignment horizontal="center" vertical="center" wrapText="1"/>
      <protection hidden="1"/>
    </xf>
    <xf numFmtId="0" fontId="16" fillId="0" borderId="13" xfId="0" applyFont="1" applyFill="1" applyBorder="1" applyAlignment="1" applyProtection="1">
      <alignment horizontal="center" vertical="center" wrapText="1"/>
      <protection hidden="1"/>
    </xf>
    <xf numFmtId="0" fontId="21" fillId="3" borderId="8" xfId="0" applyFont="1" applyFill="1" applyBorder="1" applyAlignment="1" applyProtection="1">
      <alignment horizontal="center" vertical="center" wrapText="1" readingOrder="1"/>
      <protection hidden="1"/>
    </xf>
    <xf numFmtId="0" fontId="21" fillId="3" borderId="44" xfId="0" applyFont="1" applyFill="1" applyBorder="1" applyAlignment="1" applyProtection="1">
      <alignment horizontal="center" vertical="center" wrapText="1" readingOrder="1"/>
      <protection hidden="1"/>
    </xf>
    <xf numFmtId="14" fontId="21" fillId="3" borderId="83" xfId="0" applyNumberFormat="1" applyFont="1" applyFill="1" applyBorder="1" applyAlignment="1" applyProtection="1">
      <alignment horizontal="center" vertical="center" wrapText="1" readingOrder="1"/>
      <protection hidden="1"/>
    </xf>
    <xf numFmtId="14" fontId="21" fillId="3" borderId="41" xfId="0" applyNumberFormat="1" applyFont="1" applyFill="1" applyBorder="1" applyAlignment="1" applyProtection="1">
      <alignment horizontal="center" vertical="center" wrapText="1" readingOrder="1"/>
      <protection hidden="1"/>
    </xf>
    <xf numFmtId="0" fontId="22" fillId="5" borderId="44" xfId="0" applyFont="1" applyFill="1" applyBorder="1" applyAlignment="1" applyProtection="1">
      <alignment horizontal="center" vertical="center" wrapText="1" readingOrder="1"/>
      <protection hidden="1"/>
    </xf>
    <xf numFmtId="0" fontId="22" fillId="6" borderId="0" xfId="0" applyFont="1" applyFill="1" applyBorder="1" applyAlignment="1" applyProtection="1">
      <alignment horizontal="center" vertical="center" wrapText="1" readingOrder="1"/>
      <protection hidden="1"/>
    </xf>
    <xf numFmtId="0" fontId="22" fillId="6" borderId="108" xfId="0" applyFont="1" applyFill="1" applyBorder="1" applyAlignment="1" applyProtection="1">
      <alignment horizontal="center" vertical="center" wrapText="1" readingOrder="1"/>
      <protection hidden="1"/>
    </xf>
    <xf numFmtId="0" fontId="49" fillId="3" borderId="8" xfId="0" applyFont="1" applyFill="1" applyBorder="1" applyAlignment="1" applyProtection="1">
      <alignment horizontal="center" vertical="center" wrapText="1" readingOrder="1"/>
      <protection hidden="1"/>
    </xf>
    <xf numFmtId="0" fontId="49" fillId="3" borderId="79" xfId="0" applyFont="1" applyFill="1" applyBorder="1" applyAlignment="1" applyProtection="1">
      <alignment horizontal="center" vertical="center" wrapText="1" readingOrder="1"/>
      <protection hidden="1"/>
    </xf>
    <xf numFmtId="2" fontId="0" fillId="18" borderId="8" xfId="0" applyNumberFormat="1" applyFill="1" applyBorder="1" applyAlignment="1" applyProtection="1">
      <alignment horizontal="center" vertical="center"/>
      <protection hidden="1"/>
    </xf>
    <xf numFmtId="0" fontId="22" fillId="6" borderId="79" xfId="0" applyFont="1" applyFill="1" applyBorder="1" applyAlignment="1" applyProtection="1">
      <alignment horizontal="left" vertical="center" wrapText="1" readingOrder="1"/>
      <protection hidden="1"/>
    </xf>
    <xf numFmtId="0" fontId="22" fillId="6" borderId="9" xfId="0" applyFont="1" applyFill="1" applyBorder="1" applyAlignment="1" applyProtection="1">
      <alignment horizontal="left" vertical="center" wrapText="1" readingOrder="1"/>
      <protection hidden="1"/>
    </xf>
    <xf numFmtId="0" fontId="22" fillId="6" borderId="83" xfId="0" applyFont="1" applyFill="1" applyBorder="1" applyAlignment="1" applyProtection="1">
      <alignment horizontal="left" vertical="center" wrapText="1" readingOrder="1"/>
      <protection hidden="1"/>
    </xf>
    <xf numFmtId="0" fontId="11" fillId="10" borderId="47" xfId="0" applyFont="1" applyFill="1" applyBorder="1" applyAlignment="1" applyProtection="1">
      <alignment horizontal="center" vertical="center" wrapText="1"/>
      <protection hidden="1"/>
    </xf>
    <xf numFmtId="0" fontId="37" fillId="10" borderId="79" xfId="0" applyFont="1" applyFill="1" applyBorder="1" applyAlignment="1" applyProtection="1">
      <alignment horizontal="center" vertical="center" wrapText="1"/>
      <protection hidden="1"/>
    </xf>
    <xf numFmtId="0" fontId="12" fillId="20" borderId="0" xfId="0" applyFont="1" applyFill="1" applyBorder="1" applyAlignment="1" applyProtection="1">
      <alignment vertical="center"/>
      <protection hidden="1"/>
    </xf>
    <xf numFmtId="0" fontId="12" fillId="20" borderId="7" xfId="0" applyFont="1" applyFill="1" applyBorder="1" applyAlignment="1" applyProtection="1">
      <alignment vertical="center"/>
      <protection hidden="1"/>
    </xf>
    <xf numFmtId="0" fontId="37" fillId="10" borderId="9" xfId="0" applyFont="1" applyFill="1" applyBorder="1" applyAlignment="1" applyProtection="1">
      <alignment horizontal="center" vertical="center" wrapText="1"/>
      <protection hidden="1"/>
    </xf>
    <xf numFmtId="0" fontId="37" fillId="10" borderId="9" xfId="0" applyFont="1" applyFill="1" applyBorder="1" applyAlignment="1" applyProtection="1">
      <alignment horizontal="left" vertical="center" wrapText="1"/>
      <protection hidden="1"/>
    </xf>
    <xf numFmtId="0" fontId="37" fillId="10" borderId="83" xfId="0" applyFont="1" applyFill="1" applyBorder="1" applyAlignment="1" applyProtection="1">
      <alignment horizontal="center" vertical="center" wrapText="1"/>
      <protection hidden="1"/>
    </xf>
    <xf numFmtId="2" fontId="77" fillId="16" borderId="47" xfId="3" applyNumberFormat="1" applyFont="1" applyBorder="1" applyAlignment="1" applyProtection="1">
      <alignment horizontal="center" wrapText="1"/>
      <protection hidden="1"/>
    </xf>
    <xf numFmtId="0" fontId="57" fillId="3" borderId="99" xfId="0" applyFont="1" applyFill="1" applyBorder="1" applyAlignment="1" applyProtection="1">
      <alignment horizontal="center" vertical="center" wrapText="1" readingOrder="1"/>
      <protection hidden="1"/>
    </xf>
    <xf numFmtId="0" fontId="22" fillId="6" borderId="86" xfId="0" applyFont="1" applyFill="1" applyBorder="1" applyAlignment="1" applyProtection="1">
      <alignment horizontal="center" vertical="center" wrapText="1" readingOrder="1"/>
      <protection hidden="1"/>
    </xf>
    <xf numFmtId="0" fontId="49" fillId="3" borderId="118" xfId="0" applyFont="1" applyFill="1" applyBorder="1" applyAlignment="1" applyProtection="1">
      <alignment horizontal="center" vertical="center" wrapText="1" readingOrder="1"/>
      <protection hidden="1"/>
    </xf>
    <xf numFmtId="0" fontId="22" fillId="5" borderId="38" xfId="0" applyFont="1" applyFill="1" applyBorder="1" applyAlignment="1" applyProtection="1">
      <alignment horizontal="center" vertical="center" wrapText="1" readingOrder="1"/>
      <protection hidden="1"/>
    </xf>
    <xf numFmtId="0" fontId="56" fillId="24" borderId="99" xfId="7" applyFont="1" applyBorder="1" applyAlignment="1" applyProtection="1">
      <alignment horizontal="center" vertical="center"/>
      <protection hidden="1"/>
    </xf>
    <xf numFmtId="2" fontId="8" fillId="29" borderId="47" xfId="12" applyNumberFormat="1" applyBorder="1" applyAlignment="1" applyProtection="1">
      <alignment horizontal="center" vertical="center"/>
      <protection hidden="1"/>
    </xf>
    <xf numFmtId="0" fontId="56" fillId="24" borderId="12" xfId="7" applyFont="1" applyBorder="1" applyAlignment="1" applyProtection="1">
      <alignment horizontal="center" vertical="center"/>
      <protection hidden="1"/>
    </xf>
    <xf numFmtId="165" fontId="8" fillId="29" borderId="7" xfId="12" applyNumberFormat="1" applyBorder="1" applyAlignment="1" applyProtection="1">
      <alignment horizontal="center" vertical="center"/>
      <protection hidden="1"/>
    </xf>
    <xf numFmtId="0" fontId="56" fillId="24" borderId="118" xfId="7" applyFont="1" applyBorder="1" applyAlignment="1" applyProtection="1">
      <alignment horizontal="center" vertical="center"/>
      <protection hidden="1"/>
    </xf>
    <xf numFmtId="165" fontId="8" fillId="29" borderId="42" xfId="12" applyNumberFormat="1" applyBorder="1" applyAlignment="1" applyProtection="1">
      <alignment horizontal="center" vertical="center"/>
      <protection hidden="1"/>
    </xf>
    <xf numFmtId="2" fontId="8" fillId="29" borderId="42" xfId="12" applyNumberFormat="1" applyBorder="1" applyAlignment="1" applyProtection="1">
      <alignment horizontal="center" vertical="center"/>
      <protection hidden="1"/>
    </xf>
    <xf numFmtId="0" fontId="56" fillId="24" borderId="72" xfId="7" applyFont="1" applyBorder="1" applyAlignment="1" applyProtection="1">
      <alignment horizontal="center" vertical="center"/>
      <protection hidden="1"/>
    </xf>
    <xf numFmtId="2" fontId="8" fillId="29" borderId="8" xfId="12" applyNumberFormat="1" applyBorder="1" applyAlignment="1" applyProtection="1">
      <alignment horizontal="center" vertical="center"/>
      <protection hidden="1"/>
    </xf>
    <xf numFmtId="0" fontId="0" fillId="0" borderId="5" xfId="0" applyBorder="1" applyProtection="1">
      <protection hidden="1"/>
    </xf>
    <xf numFmtId="0" fontId="0" fillId="0" borderId="43" xfId="0" applyBorder="1" applyProtection="1">
      <protection hidden="1"/>
    </xf>
    <xf numFmtId="165" fontId="8" fillId="29" borderId="83" xfId="12" applyNumberFormat="1" applyBorder="1" applyAlignment="1" applyProtection="1">
      <alignment horizontal="center" vertical="center"/>
      <protection hidden="1"/>
    </xf>
    <xf numFmtId="0" fontId="0" fillId="0" borderId="37" xfId="0" applyBorder="1" applyProtection="1">
      <protection hidden="1"/>
    </xf>
    <xf numFmtId="0" fontId="56" fillId="24" borderId="6" xfId="7" applyFont="1" applyBorder="1" applyAlignment="1" applyProtection="1">
      <alignment horizontal="center" vertical="center"/>
      <protection hidden="1"/>
    </xf>
    <xf numFmtId="0" fontId="22" fillId="6" borderId="4" xfId="0" applyFont="1" applyFill="1" applyBorder="1" applyAlignment="1" applyProtection="1">
      <alignment horizontal="left" vertical="center" wrapText="1" readingOrder="1"/>
      <protection hidden="1"/>
    </xf>
    <xf numFmtId="0" fontId="22" fillId="6" borderId="6" xfId="0" applyFont="1" applyFill="1" applyBorder="1" applyAlignment="1" applyProtection="1">
      <alignment horizontal="left" vertical="center" wrapText="1" readingOrder="1"/>
      <protection hidden="1"/>
    </xf>
    <xf numFmtId="0" fontId="22" fillId="6" borderId="40" xfId="0" applyFont="1" applyFill="1" applyBorder="1" applyAlignment="1" applyProtection="1">
      <alignment horizontal="left" vertical="center" wrapText="1" readingOrder="1"/>
      <protection hidden="1"/>
    </xf>
    <xf numFmtId="0" fontId="31" fillId="24" borderId="7" xfId="7" applyFont="1" applyBorder="1" applyAlignment="1" applyProtection="1">
      <alignment horizontal="center" vertical="center" wrapText="1"/>
      <protection hidden="1"/>
    </xf>
    <xf numFmtId="0" fontId="8" fillId="29" borderId="0" xfId="12" applyBorder="1" applyAlignment="1" applyProtection="1">
      <alignment vertical="center"/>
      <protection hidden="1"/>
    </xf>
    <xf numFmtId="0" fontId="8" fillId="29" borderId="7" xfId="12" applyBorder="1" applyAlignment="1" applyProtection="1">
      <alignment vertical="center"/>
      <protection hidden="1"/>
    </xf>
    <xf numFmtId="0" fontId="31" fillId="24" borderId="7" xfId="7" applyFont="1" applyBorder="1" applyAlignment="1" applyProtection="1">
      <alignment horizontal="left" vertical="center" wrapText="1"/>
      <protection hidden="1"/>
    </xf>
    <xf numFmtId="0" fontId="56" fillId="24" borderId="42" xfId="7" applyFont="1" applyBorder="1" applyAlignment="1" applyProtection="1">
      <alignment horizontal="center" vertical="center" wrapText="1"/>
      <protection hidden="1"/>
    </xf>
    <xf numFmtId="0" fontId="61" fillId="29" borderId="0" xfId="12" applyFont="1" applyBorder="1" applyAlignment="1" applyProtection="1">
      <alignment vertical="center"/>
      <protection hidden="1"/>
    </xf>
    <xf numFmtId="0" fontId="61" fillId="29" borderId="42" xfId="12" applyFont="1" applyBorder="1" applyAlignment="1" applyProtection="1">
      <alignment vertical="center"/>
      <protection hidden="1"/>
    </xf>
    <xf numFmtId="0" fontId="50" fillId="14" borderId="10" xfId="1" applyBorder="1" applyAlignment="1" applyProtection="1">
      <alignment horizontal="center" vertical="center" wrapText="1"/>
      <protection hidden="1"/>
    </xf>
    <xf numFmtId="0" fontId="50" fillId="14" borderId="16" xfId="1" applyBorder="1" applyAlignment="1" applyProtection="1">
      <alignment horizontal="center" vertical="center" wrapText="1"/>
      <protection hidden="1"/>
    </xf>
    <xf numFmtId="0" fontId="50" fillId="14" borderId="15" xfId="1" applyBorder="1" applyAlignment="1" applyProtection="1">
      <alignment horizontal="center" vertical="center"/>
      <protection hidden="1"/>
    </xf>
    <xf numFmtId="0" fontId="8" fillId="30" borderId="18" xfId="13" applyBorder="1" applyAlignment="1" applyProtection="1">
      <alignment horizontal="center" vertical="center"/>
      <protection hidden="1"/>
    </xf>
    <xf numFmtId="0" fontId="50" fillId="14" borderId="10" xfId="1" applyBorder="1" applyAlignment="1" applyProtection="1">
      <alignment horizontal="center" vertical="center"/>
      <protection hidden="1"/>
    </xf>
    <xf numFmtId="0" fontId="8" fillId="30" borderId="16" xfId="13" applyBorder="1" applyAlignment="1" applyProtection="1">
      <alignment horizontal="center" vertical="center"/>
      <protection hidden="1"/>
    </xf>
    <xf numFmtId="0" fontId="50" fillId="14" borderId="14" xfId="1" applyBorder="1" applyAlignment="1" applyProtection="1">
      <alignment horizontal="center" vertical="center"/>
      <protection hidden="1"/>
    </xf>
    <xf numFmtId="0" fontId="8" fillId="30" borderId="19" xfId="13" applyBorder="1" applyAlignment="1" applyProtection="1">
      <alignment horizontal="center" vertical="center"/>
      <protection hidden="1"/>
    </xf>
    <xf numFmtId="0" fontId="50" fillId="14" borderId="13" xfId="1" applyBorder="1" applyAlignment="1" applyProtection="1">
      <alignment horizontal="center" vertical="center"/>
      <protection hidden="1"/>
    </xf>
    <xf numFmtId="0" fontId="8" fillId="30" borderId="17" xfId="13" applyBorder="1" applyAlignment="1" applyProtection="1">
      <alignment horizontal="center" vertical="center"/>
      <protection hidden="1"/>
    </xf>
    <xf numFmtId="2" fontId="8" fillId="30" borderId="19" xfId="13" applyNumberFormat="1" applyBorder="1" applyAlignment="1" applyProtection="1">
      <alignment horizontal="center" vertical="center"/>
      <protection hidden="1"/>
    </xf>
    <xf numFmtId="0" fontId="31" fillId="0" borderId="0" xfId="0" applyFont="1" applyProtection="1">
      <protection hidden="1"/>
    </xf>
    <xf numFmtId="0" fontId="50" fillId="26" borderId="10" xfId="9" applyBorder="1" applyAlignment="1" applyProtection="1">
      <alignment horizontal="center" vertical="center" wrapText="1"/>
      <protection hidden="1"/>
    </xf>
    <xf numFmtId="0" fontId="50" fillId="26" borderId="16" xfId="9" applyBorder="1" applyAlignment="1" applyProtection="1">
      <alignment horizontal="center" vertical="center"/>
      <protection hidden="1"/>
    </xf>
    <xf numFmtId="0" fontId="31" fillId="0" borderId="18" xfId="0" applyFont="1" applyBorder="1" applyProtection="1">
      <protection hidden="1"/>
    </xf>
    <xf numFmtId="0" fontId="50" fillId="26" borderId="16" xfId="9" applyBorder="1" applyAlignment="1" applyProtection="1">
      <alignment horizontal="center" vertical="center" wrapText="1"/>
      <protection hidden="1"/>
    </xf>
    <xf numFmtId="0" fontId="50" fillId="26" borderId="19" xfId="9" applyBorder="1" applyAlignment="1" applyProtection="1">
      <alignment horizontal="center" vertical="center"/>
      <protection hidden="1"/>
    </xf>
    <xf numFmtId="0" fontId="31" fillId="0" borderId="15" xfId="0" applyFont="1" applyBorder="1" applyProtection="1">
      <protection hidden="1"/>
    </xf>
    <xf numFmtId="0" fontId="50" fillId="26" borderId="17" xfId="9" applyBorder="1" applyAlignment="1" applyProtection="1">
      <alignment horizontal="center" vertical="center" wrapText="1"/>
      <protection hidden="1"/>
    </xf>
    <xf numFmtId="0" fontId="50" fillId="26" borderId="17" xfId="9" applyBorder="1" applyAlignment="1" applyProtection="1">
      <alignment horizontal="center" vertical="center"/>
      <protection hidden="1"/>
    </xf>
    <xf numFmtId="2" fontId="50" fillId="14" borderId="10" xfId="1" applyNumberFormat="1" applyBorder="1" applyAlignment="1" applyProtection="1">
      <alignment horizontal="center" vertical="center" wrapText="1"/>
      <protection hidden="1"/>
    </xf>
    <xf numFmtId="0" fontId="9" fillId="21" borderId="10" xfId="4" applyBorder="1" applyAlignment="1" applyProtection="1">
      <alignment horizontal="center" vertical="center" wrapText="1"/>
      <protection hidden="1"/>
    </xf>
    <xf numFmtId="2" fontId="38" fillId="0" borderId="18" xfId="0" applyNumberFormat="1" applyFont="1" applyBorder="1" applyProtection="1">
      <protection hidden="1"/>
    </xf>
    <xf numFmtId="2" fontId="50" fillId="14" borderId="10" xfId="1" applyNumberFormat="1" applyBorder="1" applyAlignment="1" applyProtection="1">
      <alignment horizontal="center" vertical="center"/>
      <protection hidden="1"/>
    </xf>
    <xf numFmtId="1" fontId="9" fillId="21" borderId="16" xfId="4" applyNumberFormat="1" applyBorder="1" applyAlignment="1" applyProtection="1">
      <alignment horizontal="center" vertical="center"/>
      <protection hidden="1"/>
    </xf>
    <xf numFmtId="2" fontId="50" fillId="14" borderId="16" xfId="1" applyNumberFormat="1" applyBorder="1" applyAlignment="1" applyProtection="1">
      <alignment horizontal="center" vertical="center"/>
      <protection hidden="1"/>
    </xf>
    <xf numFmtId="2" fontId="50" fillId="14" borderId="19" xfId="1" applyNumberFormat="1" applyBorder="1" applyAlignment="1" applyProtection="1">
      <alignment horizontal="center" vertical="center"/>
      <protection hidden="1"/>
    </xf>
    <xf numFmtId="1" fontId="9" fillId="21" borderId="19" xfId="4" applyNumberFormat="1" applyBorder="1" applyAlignment="1" applyProtection="1">
      <alignment horizontal="center" vertical="center"/>
      <protection hidden="1"/>
    </xf>
    <xf numFmtId="2" fontId="50" fillId="14" borderId="15" xfId="1" applyNumberFormat="1" applyBorder="1" applyAlignment="1" applyProtection="1">
      <alignment horizontal="center" vertical="center" wrapText="1"/>
      <protection hidden="1"/>
    </xf>
    <xf numFmtId="0" fontId="9" fillId="21" borderId="15" xfId="4" applyBorder="1" applyAlignment="1" applyProtection="1">
      <alignment horizontal="center" vertical="center" wrapText="1"/>
      <protection hidden="1"/>
    </xf>
    <xf numFmtId="2" fontId="50" fillId="14" borderId="18" xfId="1" applyNumberFormat="1" applyBorder="1" applyAlignment="1" applyProtection="1">
      <alignment horizontal="center" vertical="center"/>
      <protection hidden="1"/>
    </xf>
    <xf numFmtId="1" fontId="9" fillId="21" borderId="18" xfId="4" applyNumberFormat="1" applyBorder="1" applyAlignment="1" applyProtection="1">
      <alignment horizontal="center" vertical="center"/>
      <protection hidden="1"/>
    </xf>
    <xf numFmtId="167" fontId="9" fillId="21" borderId="10" xfId="4" applyNumberFormat="1" applyBorder="1" applyAlignment="1" applyProtection="1">
      <alignment horizontal="center" vertical="center" wrapText="1"/>
      <protection hidden="1"/>
    </xf>
    <xf numFmtId="2" fontId="50" fillId="14" borderId="14" xfId="1" applyNumberFormat="1" applyBorder="1" applyAlignment="1" applyProtection="1">
      <alignment horizontal="center" vertical="center" wrapText="1"/>
      <protection hidden="1"/>
    </xf>
    <xf numFmtId="167" fontId="9" fillId="21" borderId="14" xfId="4" applyNumberFormat="1" applyBorder="1" applyAlignment="1" applyProtection="1">
      <alignment horizontal="center" vertical="center" wrapText="1"/>
      <protection hidden="1"/>
    </xf>
    <xf numFmtId="2" fontId="38" fillId="0" borderId="16" xfId="0" applyNumberFormat="1" applyFont="1" applyBorder="1" applyProtection="1">
      <protection hidden="1"/>
    </xf>
    <xf numFmtId="2" fontId="50" fillId="14" borderId="13" xfId="1" applyNumberFormat="1" applyBorder="1" applyAlignment="1" applyProtection="1">
      <alignment horizontal="center" vertical="center" wrapText="1"/>
      <protection hidden="1"/>
    </xf>
    <xf numFmtId="0" fontId="9" fillId="21" borderId="13" xfId="4" applyBorder="1" applyAlignment="1" applyProtection="1">
      <alignment horizontal="center" vertical="center" wrapText="1"/>
      <protection hidden="1"/>
    </xf>
    <xf numFmtId="2" fontId="38" fillId="0" borderId="17" xfId="0" applyNumberFormat="1" applyFont="1" applyBorder="1" applyProtection="1">
      <protection hidden="1"/>
    </xf>
    <xf numFmtId="2" fontId="38" fillId="0" borderId="19" xfId="0" applyNumberFormat="1" applyFont="1" applyBorder="1" applyProtection="1">
      <protection hidden="1"/>
    </xf>
    <xf numFmtId="2" fontId="38" fillId="0" borderId="14" xfId="0" applyNumberFormat="1" applyFont="1" applyFill="1" applyBorder="1" applyAlignment="1" applyProtection="1">
      <alignment horizontal="center" vertical="center" wrapText="1"/>
      <protection hidden="1"/>
    </xf>
    <xf numFmtId="167" fontId="38" fillId="0" borderId="15" xfId="0" applyNumberFormat="1" applyFont="1" applyFill="1" applyBorder="1" applyAlignment="1" applyProtection="1">
      <alignment horizontal="center" vertical="center" wrapText="1"/>
      <protection hidden="1"/>
    </xf>
    <xf numFmtId="2" fontId="50" fillId="14" borderId="13" xfId="1" applyNumberFormat="1" applyBorder="1" applyAlignment="1" applyProtection="1">
      <alignment horizontal="center" vertical="center"/>
      <protection hidden="1"/>
    </xf>
    <xf numFmtId="1" fontId="9" fillId="21" borderId="17" xfId="4" applyNumberFormat="1" applyBorder="1" applyAlignment="1" applyProtection="1">
      <alignment horizontal="center" vertical="center"/>
      <protection hidden="1"/>
    </xf>
    <xf numFmtId="2" fontId="38" fillId="0" borderId="0" xfId="0" applyNumberFormat="1" applyFont="1" applyProtection="1">
      <protection hidden="1"/>
    </xf>
    <xf numFmtId="0" fontId="22" fillId="20" borderId="79" xfId="0" applyFont="1" applyFill="1" applyBorder="1" applyAlignment="1" applyProtection="1">
      <alignment horizontal="center" vertical="center" wrapText="1" readingOrder="1"/>
      <protection hidden="1"/>
    </xf>
    <xf numFmtId="0" fontId="41" fillId="36" borderId="8" xfId="0" applyFont="1" applyFill="1" applyBorder="1" applyAlignment="1" applyProtection="1">
      <alignment horizontal="left" vertical="center" wrapText="1" readingOrder="1"/>
      <protection hidden="1"/>
    </xf>
    <xf numFmtId="0" fontId="38" fillId="18" borderId="8" xfId="0" applyFont="1" applyFill="1" applyBorder="1" applyAlignment="1" applyProtection="1">
      <alignment horizontal="left" vertical="center"/>
      <protection hidden="1"/>
    </xf>
    <xf numFmtId="2" fontId="22" fillId="19" borderId="79" xfId="0" applyNumberFormat="1" applyFont="1" applyFill="1" applyBorder="1" applyAlignment="1" applyProtection="1">
      <alignment horizontal="center" vertical="center" wrapText="1" readingOrder="1"/>
      <protection hidden="1"/>
    </xf>
    <xf numFmtId="0" fontId="13" fillId="0" borderId="7" xfId="0" applyFont="1" applyFill="1" applyBorder="1" applyAlignment="1" applyProtection="1">
      <protection hidden="1"/>
    </xf>
    <xf numFmtId="0" fontId="13" fillId="0" borderId="0" xfId="0" applyFont="1" applyBorder="1" applyAlignment="1" applyProtection="1">
      <alignment horizontal="center"/>
      <protection hidden="1"/>
    </xf>
    <xf numFmtId="0" fontId="13" fillId="0" borderId="0" xfId="0" applyFont="1" applyFill="1" applyBorder="1" applyAlignment="1" applyProtection="1">
      <protection hidden="1"/>
    </xf>
    <xf numFmtId="2" fontId="38" fillId="19" borderId="9" xfId="0" applyNumberFormat="1" applyFont="1" applyFill="1" applyBorder="1" applyAlignment="1" applyProtection="1">
      <alignment horizontal="center" vertical="center"/>
      <protection hidden="1"/>
    </xf>
    <xf numFmtId="10" fontId="38" fillId="19" borderId="8" xfId="0" applyNumberFormat="1" applyFont="1" applyFill="1" applyBorder="1" applyAlignment="1" applyProtection="1">
      <alignment horizontal="center" vertical="center"/>
      <protection hidden="1"/>
    </xf>
    <xf numFmtId="167" fontId="38" fillId="19" borderId="8" xfId="0" applyNumberFormat="1" applyFont="1" applyFill="1" applyBorder="1" applyAlignment="1" applyProtection="1">
      <alignment horizontal="center" vertical="center"/>
      <protection hidden="1"/>
    </xf>
    <xf numFmtId="0" fontId="41" fillId="36" borderId="79" xfId="0" applyFont="1" applyFill="1" applyBorder="1" applyAlignment="1" applyProtection="1">
      <alignment horizontal="center" vertical="center" wrapText="1" readingOrder="1"/>
      <protection hidden="1"/>
    </xf>
    <xf numFmtId="0" fontId="41" fillId="36" borderId="8" xfId="0" applyFont="1" applyFill="1" applyBorder="1" applyAlignment="1" applyProtection="1">
      <alignment horizontal="center" vertical="center" wrapText="1" readingOrder="1"/>
      <protection hidden="1"/>
    </xf>
    <xf numFmtId="0" fontId="41" fillId="36" borderId="9" xfId="0" applyFont="1" applyFill="1" applyBorder="1" applyAlignment="1" applyProtection="1">
      <alignment horizontal="center" vertical="center" wrapText="1" readingOrder="1"/>
      <protection hidden="1"/>
    </xf>
    <xf numFmtId="0" fontId="41" fillId="36" borderId="90" xfId="0" applyFont="1" applyFill="1" applyBorder="1" applyAlignment="1" applyProtection="1">
      <alignment horizontal="center" vertical="center" wrapText="1" readingOrder="1"/>
      <protection hidden="1"/>
    </xf>
    <xf numFmtId="0" fontId="12" fillId="18" borderId="79" xfId="0" applyFont="1" applyFill="1" applyBorder="1" applyAlignment="1" applyProtection="1">
      <alignment horizontal="left"/>
      <protection hidden="1"/>
    </xf>
    <xf numFmtId="0" fontId="13" fillId="18" borderId="9" xfId="0" applyFont="1" applyFill="1" applyBorder="1" applyAlignment="1" applyProtection="1">
      <alignment vertical="center" wrapText="1"/>
      <protection hidden="1"/>
    </xf>
    <xf numFmtId="0" fontId="13" fillId="18" borderId="83" xfId="0" applyFont="1" applyFill="1" applyBorder="1" applyAlignment="1" applyProtection="1">
      <alignment vertical="center" wrapText="1"/>
      <protection hidden="1"/>
    </xf>
    <xf numFmtId="0" fontId="12" fillId="18" borderId="9" xfId="0" applyFont="1" applyFill="1" applyBorder="1" applyAlignment="1" applyProtection="1">
      <alignment horizontal="left"/>
      <protection hidden="1"/>
    </xf>
    <xf numFmtId="0" fontId="12" fillId="18" borderId="9" xfId="0" applyFont="1" applyFill="1" applyBorder="1" applyAlignment="1" applyProtection="1">
      <alignment horizontal="left" wrapText="1"/>
      <protection hidden="1"/>
    </xf>
    <xf numFmtId="0" fontId="12" fillId="18" borderId="83" xfId="0" applyFont="1" applyFill="1" applyBorder="1" applyAlignment="1" applyProtection="1">
      <alignment horizontal="left" vertical="top"/>
      <protection hidden="1"/>
    </xf>
    <xf numFmtId="0" fontId="0" fillId="0" borderId="6" xfId="0" applyBorder="1" applyProtection="1">
      <protection hidden="1"/>
    </xf>
    <xf numFmtId="166" fontId="96" fillId="30" borderId="8" xfId="13" applyNumberFormat="1" applyFont="1" applyBorder="1" applyAlignment="1" applyProtection="1">
      <alignment horizontal="center" vertical="center"/>
      <protection hidden="1"/>
    </xf>
    <xf numFmtId="0" fontId="37" fillId="18" borderId="8" xfId="0" applyFont="1" applyFill="1" applyBorder="1" applyAlignment="1" applyProtection="1">
      <alignment horizontal="center" wrapText="1"/>
      <protection hidden="1"/>
    </xf>
    <xf numFmtId="166" fontId="17" fillId="19" borderId="0" xfId="0" applyNumberFormat="1" applyFont="1" applyFill="1" applyBorder="1" applyAlignment="1" applyProtection="1">
      <alignment horizontal="center" vertical="center"/>
      <protection hidden="1"/>
    </xf>
    <xf numFmtId="166" fontId="17" fillId="19" borderId="7" xfId="0" applyNumberFormat="1" applyFont="1" applyFill="1" applyBorder="1" applyAlignment="1" applyProtection="1">
      <alignment horizontal="center" vertical="center"/>
      <protection hidden="1"/>
    </xf>
    <xf numFmtId="1" fontId="17" fillId="19" borderId="0" xfId="0" applyNumberFormat="1" applyFont="1" applyFill="1" applyBorder="1" applyAlignment="1" applyProtection="1">
      <alignment horizontal="right" vertical="center"/>
      <protection hidden="1"/>
    </xf>
    <xf numFmtId="166" fontId="17" fillId="19" borderId="0" xfId="0" applyNumberFormat="1" applyFont="1" applyFill="1" applyBorder="1" applyAlignment="1" applyProtection="1">
      <alignment vertical="center"/>
      <protection hidden="1"/>
    </xf>
    <xf numFmtId="166" fontId="17" fillId="19" borderId="7" xfId="0" applyNumberFormat="1" applyFont="1" applyFill="1" applyBorder="1" applyAlignment="1" applyProtection="1">
      <alignment horizontal="left" vertical="center"/>
      <protection hidden="1"/>
    </xf>
    <xf numFmtId="0" fontId="12" fillId="18" borderId="9" xfId="0" applyFont="1" applyFill="1" applyBorder="1" applyAlignment="1" applyProtection="1">
      <alignment horizontal="left" vertical="top"/>
      <protection hidden="1"/>
    </xf>
    <xf numFmtId="166" fontId="17" fillId="19" borderId="0" xfId="0" applyNumberFormat="1" applyFont="1" applyFill="1" applyBorder="1" applyAlignment="1" applyProtection="1">
      <alignment horizontal="right" vertical="center"/>
      <protection hidden="1"/>
    </xf>
    <xf numFmtId="166" fontId="17" fillId="19" borderId="7" xfId="0" applyNumberFormat="1" applyFont="1" applyFill="1" applyBorder="1" applyAlignment="1" applyProtection="1">
      <alignment vertical="center"/>
      <protection hidden="1"/>
    </xf>
    <xf numFmtId="0" fontId="73" fillId="18" borderId="83" xfId="0" applyFont="1" applyFill="1" applyBorder="1" applyAlignment="1" applyProtection="1">
      <alignment horizontal="center" vertical="center" wrapText="1"/>
      <protection hidden="1"/>
    </xf>
    <xf numFmtId="166" fontId="74" fillId="19" borderId="41" xfId="0" applyNumberFormat="1" applyFont="1" applyFill="1" applyBorder="1" applyAlignment="1" applyProtection="1">
      <alignment vertical="center" wrapText="1"/>
      <protection hidden="1"/>
    </xf>
    <xf numFmtId="166" fontId="74" fillId="19" borderId="42" xfId="0" applyNumberFormat="1" applyFont="1" applyFill="1" applyBorder="1" applyAlignment="1" applyProtection="1">
      <alignment vertical="center" wrapText="1"/>
      <protection hidden="1"/>
    </xf>
    <xf numFmtId="0" fontId="56" fillId="18" borderId="11" xfId="0" applyFont="1" applyFill="1" applyBorder="1" applyAlignment="1" applyProtection="1">
      <alignment vertical="top" wrapText="1"/>
      <protection hidden="1"/>
    </xf>
    <xf numFmtId="0" fontId="37" fillId="18" borderId="8" xfId="0" applyFont="1" applyFill="1" applyBorder="1" applyAlignment="1" applyProtection="1">
      <alignment horizontal="center" vertical="center"/>
      <protection hidden="1"/>
    </xf>
    <xf numFmtId="0" fontId="37" fillId="18" borderId="9" xfId="0" applyFont="1" applyFill="1" applyBorder="1" applyAlignment="1" applyProtection="1">
      <alignment horizontal="center" vertical="center" wrapText="1"/>
      <protection hidden="1"/>
    </xf>
    <xf numFmtId="0" fontId="0" fillId="0" borderId="6" xfId="0" applyBorder="1" applyAlignment="1" applyProtection="1">
      <alignment horizontal="center"/>
      <protection hidden="1"/>
    </xf>
    <xf numFmtId="0" fontId="37" fillId="18" borderId="83" xfId="0" applyFont="1" applyFill="1" applyBorder="1" applyAlignment="1" applyProtection="1">
      <alignment horizontal="center" vertical="center"/>
      <protection hidden="1"/>
    </xf>
    <xf numFmtId="0" fontId="41" fillId="36" borderId="34" xfId="0" applyFont="1" applyFill="1" applyBorder="1" applyAlignment="1" applyProtection="1">
      <alignment horizontal="left" vertical="center"/>
      <protection hidden="1"/>
    </xf>
    <xf numFmtId="0" fontId="50" fillId="0" borderId="0" xfId="1" applyFill="1" applyBorder="1" applyAlignment="1" applyProtection="1">
      <alignment vertical="center" wrapText="1"/>
      <protection hidden="1"/>
    </xf>
    <xf numFmtId="0" fontId="50" fillId="27" borderId="8" xfId="10" applyBorder="1" applyAlignment="1" applyProtection="1">
      <alignment horizontal="center" vertical="center"/>
      <protection hidden="1"/>
    </xf>
    <xf numFmtId="10" fontId="8" fillId="28" borderId="8" xfId="11" applyNumberFormat="1" applyBorder="1" applyAlignment="1" applyProtection="1">
      <alignment horizontal="center" vertical="center"/>
      <protection hidden="1"/>
    </xf>
    <xf numFmtId="0" fontId="56" fillId="18" borderId="8" xfId="7" applyFont="1" applyFill="1" applyBorder="1" applyAlignment="1" applyProtection="1">
      <alignment horizontal="center" vertical="center"/>
      <protection hidden="1"/>
    </xf>
    <xf numFmtId="0" fontId="8" fillId="19" borderId="8" xfId="12" applyFill="1" applyBorder="1" applyAlignment="1" applyProtection="1">
      <alignment horizontal="center" vertical="center"/>
      <protection hidden="1"/>
    </xf>
    <xf numFmtId="165" fontId="2" fillId="35" borderId="8" xfId="18" applyNumberFormat="1" applyBorder="1" applyAlignment="1" applyProtection="1">
      <alignment horizontal="center" vertical="center"/>
      <protection hidden="1"/>
    </xf>
    <xf numFmtId="0" fontId="56" fillId="18" borderId="11" xfId="7" applyFont="1" applyFill="1" applyBorder="1" applyAlignment="1" applyProtection="1">
      <alignment horizontal="center" vertical="center"/>
      <protection hidden="1"/>
    </xf>
    <xf numFmtId="0" fontId="8" fillId="19" borderId="11" xfId="12" applyFill="1" applyBorder="1" applyAlignment="1" applyProtection="1">
      <alignment horizontal="center" vertical="center"/>
      <protection hidden="1"/>
    </xf>
    <xf numFmtId="0" fontId="45" fillId="25" borderId="9" xfId="8" applyFont="1" applyBorder="1" applyAlignment="1" applyProtection="1">
      <alignment horizontal="center" vertical="center"/>
      <protection hidden="1"/>
    </xf>
    <xf numFmtId="0" fontId="45" fillId="25" borderId="8" xfId="8" applyFont="1" applyBorder="1" applyAlignment="1" applyProtection="1">
      <alignment horizontal="center" vertical="center"/>
      <protection hidden="1"/>
    </xf>
    <xf numFmtId="166" fontId="96" fillId="35" borderId="44" xfId="18" applyNumberFormat="1" applyFont="1" applyBorder="1" applyAlignment="1" applyProtection="1">
      <alignment horizontal="right" vertical="center"/>
      <protection hidden="1"/>
    </xf>
    <xf numFmtId="49" fontId="96" fillId="35" borderId="44" xfId="18" applyNumberFormat="1" applyFont="1" applyBorder="1" applyAlignment="1" applyProtection="1">
      <alignment horizontal="center" vertical="center"/>
      <protection hidden="1"/>
    </xf>
    <xf numFmtId="165" fontId="96" fillId="35" borderId="44" xfId="18" applyNumberFormat="1" applyFont="1" applyBorder="1" applyAlignment="1" applyProtection="1">
      <alignment horizontal="center" vertical="center"/>
      <protection hidden="1"/>
    </xf>
    <xf numFmtId="166" fontId="96" fillId="35" borderId="44" xfId="18" applyNumberFormat="1" applyFont="1" applyBorder="1" applyAlignment="1" applyProtection="1">
      <alignment horizontal="left" vertical="center"/>
      <protection hidden="1"/>
    </xf>
    <xf numFmtId="0" fontId="45" fillId="25" borderId="11" xfId="8" applyFont="1" applyBorder="1" applyAlignment="1" applyProtection="1">
      <alignment horizontal="center" vertical="center"/>
      <protection hidden="1"/>
    </xf>
    <xf numFmtId="2" fontId="31" fillId="19" borderId="99" xfId="0" applyNumberFormat="1" applyFont="1" applyFill="1" applyBorder="1" applyAlignment="1" applyProtection="1">
      <alignment horizontal="center" vertical="center" wrapText="1"/>
      <protection hidden="1"/>
    </xf>
    <xf numFmtId="2" fontId="31" fillId="19" borderId="86" xfId="0" applyNumberFormat="1" applyFont="1" applyFill="1" applyBorder="1" applyAlignment="1" applyProtection="1">
      <alignment horizontal="center" vertical="center" wrapText="1"/>
      <protection hidden="1"/>
    </xf>
    <xf numFmtId="2" fontId="4" fillId="11" borderId="9" xfId="15" applyNumberFormat="1" applyFill="1" applyBorder="1" applyAlignment="1" applyProtection="1">
      <alignment horizontal="center" vertical="center" wrapText="1"/>
      <protection locked="0" hidden="1"/>
    </xf>
    <xf numFmtId="2" fontId="38" fillId="19" borderId="8" xfId="0" applyNumberFormat="1" applyFont="1" applyFill="1" applyBorder="1" applyAlignment="1" applyProtection="1">
      <alignment horizontal="center"/>
      <protection hidden="1"/>
    </xf>
    <xf numFmtId="0" fontId="0" fillId="0" borderId="0" xfId="0" applyAlignment="1">
      <alignment horizontal="center" vertical="center"/>
    </xf>
    <xf numFmtId="0" fontId="12" fillId="0" borderId="0" xfId="0" applyFont="1" applyAlignment="1">
      <alignment horizontal="center" vertical="center"/>
    </xf>
    <xf numFmtId="0" fontId="12" fillId="0" borderId="0" xfId="0" applyFont="1"/>
    <xf numFmtId="0" fontId="107" fillId="18" borderId="121" xfId="0" applyFont="1" applyFill="1" applyBorder="1" applyAlignment="1">
      <alignment horizontal="center" vertical="center"/>
    </xf>
    <xf numFmtId="0" fontId="107" fillId="18" borderId="106" xfId="0" applyFont="1" applyFill="1" applyBorder="1" applyAlignment="1">
      <alignment horizontal="center" vertical="center"/>
    </xf>
    <xf numFmtId="0" fontId="12" fillId="0" borderId="7" xfId="0" applyFont="1" applyBorder="1"/>
    <xf numFmtId="0" fontId="12" fillId="18" borderId="46" xfId="0" applyFont="1" applyFill="1" applyBorder="1" applyAlignment="1">
      <alignment horizontal="center" vertical="center"/>
    </xf>
    <xf numFmtId="0" fontId="12" fillId="0" borderId="7" xfId="0" applyFont="1" applyBorder="1" applyAlignment="1">
      <alignment horizontal="center" vertical="center"/>
    </xf>
    <xf numFmtId="0" fontId="12" fillId="18" borderId="9" xfId="0" applyFont="1" applyFill="1" applyBorder="1" applyAlignment="1">
      <alignment horizontal="center" vertical="center"/>
    </xf>
    <xf numFmtId="0" fontId="107" fillId="18" borderId="9" xfId="0" applyFont="1" applyFill="1" applyBorder="1" applyAlignment="1">
      <alignment horizontal="center" vertical="center"/>
    </xf>
    <xf numFmtId="0" fontId="12" fillId="18" borderId="83" xfId="0" applyFont="1" applyFill="1" applyBorder="1" applyAlignment="1">
      <alignment horizontal="center" vertical="center"/>
    </xf>
    <xf numFmtId="0" fontId="12" fillId="18" borderId="8" xfId="0" applyFont="1" applyFill="1" applyBorder="1" applyAlignment="1">
      <alignment horizontal="center" vertical="center"/>
    </xf>
    <xf numFmtId="0" fontId="12" fillId="18" borderId="96" xfId="0" applyFont="1" applyFill="1" applyBorder="1" applyAlignment="1">
      <alignment horizontal="center" vertical="center"/>
    </xf>
    <xf numFmtId="0" fontId="12" fillId="18" borderId="96" xfId="0" applyFont="1" applyFill="1" applyBorder="1" applyAlignment="1">
      <alignment horizontal="center"/>
    </xf>
    <xf numFmtId="0" fontId="107" fillId="18" borderId="8" xfId="0" applyFont="1" applyFill="1" applyBorder="1" applyAlignment="1">
      <alignment horizontal="center" vertical="center"/>
    </xf>
    <xf numFmtId="0" fontId="12" fillId="18" borderId="8" xfId="0" applyFont="1" applyFill="1" applyBorder="1" applyAlignment="1">
      <alignment horizontal="center"/>
    </xf>
    <xf numFmtId="165" fontId="2" fillId="35" borderId="8" xfId="18" applyNumberFormat="1" applyBorder="1" applyAlignment="1">
      <alignment horizontal="center" vertical="center"/>
    </xf>
    <xf numFmtId="165" fontId="2" fillId="35" borderId="47" xfId="18" applyNumberFormat="1" applyBorder="1" applyAlignment="1">
      <alignment horizontal="center" vertical="center"/>
    </xf>
    <xf numFmtId="0" fontId="38" fillId="19" borderId="9" xfId="0" applyFont="1" applyFill="1" applyBorder="1" applyAlignment="1">
      <alignment horizontal="center" vertical="center"/>
    </xf>
    <xf numFmtId="0" fontId="38" fillId="19" borderId="7" xfId="0" applyFont="1" applyFill="1" applyBorder="1" applyAlignment="1">
      <alignment horizontal="center" vertical="center"/>
    </xf>
    <xf numFmtId="168" fontId="38" fillId="19" borderId="8" xfId="0" applyNumberFormat="1" applyFont="1" applyFill="1" applyBorder="1" applyAlignment="1">
      <alignment horizontal="left" vertical="center"/>
    </xf>
    <xf numFmtId="168" fontId="38" fillId="19" borderId="47" xfId="0" applyNumberFormat="1" applyFont="1" applyFill="1" applyBorder="1" applyAlignment="1">
      <alignment horizontal="left" vertical="center"/>
    </xf>
    <xf numFmtId="168" fontId="38" fillId="19" borderId="83" xfId="0" applyNumberFormat="1" applyFont="1" applyFill="1" applyBorder="1" applyAlignment="1">
      <alignment horizontal="center"/>
    </xf>
    <xf numFmtId="168" fontId="38" fillId="19" borderId="42" xfId="0" applyNumberFormat="1" applyFont="1" applyFill="1" applyBorder="1" applyAlignment="1">
      <alignment horizontal="center"/>
    </xf>
    <xf numFmtId="0" fontId="38" fillId="19" borderId="83" xfId="0" applyFont="1" applyFill="1" applyBorder="1" applyAlignment="1">
      <alignment horizontal="center" vertical="center"/>
    </xf>
    <xf numFmtId="168" fontId="38" fillId="19" borderId="83" xfId="0" applyNumberFormat="1" applyFont="1" applyFill="1" applyBorder="1" applyAlignment="1">
      <alignment horizontal="left" vertical="center"/>
    </xf>
    <xf numFmtId="168" fontId="38" fillId="19" borderId="47" xfId="0" applyNumberFormat="1" applyFont="1" applyFill="1" applyBorder="1" applyAlignment="1">
      <alignment horizontal="center"/>
    </xf>
    <xf numFmtId="0" fontId="38" fillId="0" borderId="0" xfId="0" applyFont="1" applyAlignment="1">
      <alignment horizontal="center" vertical="center"/>
    </xf>
    <xf numFmtId="0" fontId="38" fillId="0" borderId="0" xfId="0" applyFont="1"/>
    <xf numFmtId="165" fontId="0" fillId="0" borderId="0" xfId="0" applyNumberFormat="1"/>
    <xf numFmtId="0" fontId="13" fillId="0" borderId="0" xfId="0" applyFont="1" applyAlignment="1" applyProtection="1">
      <alignment horizontal="center"/>
      <protection locked="0"/>
    </xf>
    <xf numFmtId="0" fontId="38" fillId="18" borderId="8" xfId="0" applyFont="1" applyFill="1" applyBorder="1" applyAlignment="1" applyProtection="1">
      <alignment horizontal="left" vertical="center" wrapText="1"/>
      <protection hidden="1"/>
    </xf>
    <xf numFmtId="165" fontId="2" fillId="35" borderId="83" xfId="18" applyNumberFormat="1" applyBorder="1" applyAlignment="1" applyProtection="1">
      <alignment horizontal="center" vertical="center"/>
      <protection hidden="1"/>
    </xf>
    <xf numFmtId="49" fontId="50" fillId="25" borderId="72" xfId="8" applyNumberFormat="1" applyBorder="1" applyAlignment="1" applyProtection="1">
      <alignment horizontal="center" vertical="center" wrapText="1"/>
      <protection hidden="1"/>
    </xf>
    <xf numFmtId="49" fontId="50" fillId="25" borderId="8" xfId="8" applyNumberFormat="1" applyBorder="1" applyAlignment="1" applyProtection="1">
      <alignment horizontal="center" vertical="center" wrapText="1"/>
      <protection hidden="1"/>
    </xf>
    <xf numFmtId="1" fontId="8" fillId="28" borderId="8" xfId="11" applyNumberFormat="1" applyBorder="1" applyAlignment="1" applyProtection="1">
      <alignment horizontal="center" vertical="center"/>
      <protection hidden="1"/>
    </xf>
    <xf numFmtId="49" fontId="108" fillId="25" borderId="8" xfId="8" applyNumberFormat="1" applyFont="1" applyBorder="1" applyAlignment="1" applyProtection="1">
      <alignment horizontal="center" vertical="center" wrapText="1"/>
      <protection hidden="1"/>
    </xf>
    <xf numFmtId="0" fontId="8" fillId="28" borderId="8" xfId="11" applyBorder="1" applyAlignment="1" applyProtection="1">
      <alignment horizontal="center" vertical="center"/>
      <protection hidden="1"/>
    </xf>
    <xf numFmtId="0" fontId="14" fillId="0" borderId="0" xfId="0" applyFont="1" applyAlignment="1" applyProtection="1">
      <alignment horizontal="center"/>
      <protection hidden="1"/>
    </xf>
    <xf numFmtId="0" fontId="13" fillId="0" borderId="0" xfId="0" applyFont="1" applyAlignment="1" applyProtection="1">
      <alignment horizontal="center"/>
      <protection hidden="1"/>
    </xf>
    <xf numFmtId="165" fontId="2" fillId="35" borderId="72" xfId="18" applyNumberFormat="1" applyBorder="1" applyAlignment="1" applyProtection="1">
      <alignment horizontal="center" vertical="center"/>
      <protection hidden="1"/>
    </xf>
    <xf numFmtId="165" fontId="2" fillId="35" borderId="40" xfId="18" applyNumberFormat="1" applyBorder="1" applyAlignment="1" applyProtection="1">
      <alignment horizontal="center" vertical="center"/>
      <protection hidden="1"/>
    </xf>
    <xf numFmtId="2" fontId="31" fillId="19" borderId="47" xfId="0" applyNumberFormat="1" applyFont="1" applyFill="1" applyBorder="1" applyAlignment="1" applyProtection="1">
      <alignment horizontal="center" vertical="center" wrapText="1"/>
      <protection hidden="1"/>
    </xf>
    <xf numFmtId="2" fontId="17" fillId="0"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0" xfId="0" applyAlignment="1">
      <alignment horizontal="right"/>
    </xf>
    <xf numFmtId="49" fontId="13" fillId="0" borderId="0" xfId="0" applyNumberFormat="1" applyFont="1" applyAlignment="1">
      <alignment horizontal="left"/>
    </xf>
    <xf numFmtId="0" fontId="13" fillId="0" borderId="0" xfId="0" applyFont="1" applyAlignment="1">
      <alignment horizontal="right"/>
    </xf>
    <xf numFmtId="168" fontId="41" fillId="38" borderId="47" xfId="0" applyNumberFormat="1" applyFont="1" applyFill="1" applyBorder="1" applyAlignment="1">
      <alignment horizontal="left" vertical="center"/>
    </xf>
    <xf numFmtId="168" fontId="41" fillId="38" borderId="42" xfId="0" applyNumberFormat="1" applyFont="1" applyFill="1" applyBorder="1" applyAlignment="1">
      <alignment horizontal="center"/>
    </xf>
    <xf numFmtId="165" fontId="50" fillId="38" borderId="47" xfId="18" applyNumberFormat="1" applyFont="1" applyFill="1" applyBorder="1" applyAlignment="1">
      <alignment horizontal="center" vertical="center"/>
    </xf>
    <xf numFmtId="0" fontId="0" fillId="0" borderId="8" xfId="0" applyBorder="1" applyAlignment="1" applyProtection="1">
      <alignment horizontal="center"/>
      <protection locked="0"/>
    </xf>
    <xf numFmtId="0" fontId="0" fillId="0" borderId="47" xfId="0" applyBorder="1" applyAlignment="1" applyProtection="1">
      <alignment horizontal="center"/>
      <protection locked="0"/>
    </xf>
    <xf numFmtId="0" fontId="37" fillId="18" borderId="8" xfId="0" applyFont="1" applyFill="1" applyBorder="1" applyAlignment="1" applyProtection="1">
      <alignment horizontal="center" vertical="center" wrapText="1"/>
      <protection hidden="1"/>
    </xf>
    <xf numFmtId="0" fontId="56" fillId="18" borderId="9" xfId="0" applyFont="1" applyFill="1" applyBorder="1" applyAlignment="1" applyProtection="1">
      <alignment horizontal="left" vertical="center" wrapText="1"/>
      <protection hidden="1"/>
    </xf>
    <xf numFmtId="0" fontId="14" fillId="0" borderId="6" xfId="0" applyFont="1" applyBorder="1" applyAlignment="1" applyProtection="1">
      <alignment horizontal="center"/>
      <protection hidden="1"/>
    </xf>
    <xf numFmtId="0" fontId="50" fillId="27" borderId="83" xfId="10" applyBorder="1" applyAlignment="1" applyProtection="1">
      <alignment horizontal="center" vertical="center"/>
      <protection hidden="1"/>
    </xf>
    <xf numFmtId="9" fontId="8" fillId="28" borderId="83" xfId="11" applyNumberFormat="1" applyBorder="1" applyAlignment="1" applyProtection="1">
      <alignment horizontal="center" vertical="center"/>
      <protection hidden="1"/>
    </xf>
    <xf numFmtId="0" fontId="8" fillId="28" borderId="83" xfId="11" applyBorder="1" applyAlignment="1" applyProtection="1">
      <alignment horizontal="center" vertical="center"/>
      <protection hidden="1"/>
    </xf>
    <xf numFmtId="0" fontId="50" fillId="0" borderId="11" xfId="1" applyFill="1" applyBorder="1" applyAlignment="1" applyProtection="1">
      <alignment vertical="center" wrapText="1"/>
      <protection hidden="1"/>
    </xf>
    <xf numFmtId="49" fontId="50" fillId="25" borderId="83" xfId="8" applyNumberFormat="1" applyBorder="1" applyAlignment="1" applyProtection="1">
      <alignment horizontal="center" vertical="center" wrapText="1"/>
      <protection hidden="1"/>
    </xf>
    <xf numFmtId="166" fontId="96" fillId="30" borderId="100" xfId="13" applyNumberFormat="1" applyFont="1" applyBorder="1" applyAlignment="1" applyProtection="1">
      <alignment horizontal="center" vertical="center"/>
      <protection hidden="1"/>
    </xf>
    <xf numFmtId="0" fontId="0" fillId="0" borderId="40" xfId="0" applyBorder="1" applyProtection="1">
      <protection hidden="1"/>
    </xf>
    <xf numFmtId="0" fontId="13" fillId="0" borderId="41" xfId="0" applyFont="1" applyFill="1" applyBorder="1" applyAlignment="1" applyProtection="1">
      <protection hidden="1"/>
    </xf>
    <xf numFmtId="0" fontId="13" fillId="0" borderId="41" xfId="0" applyFont="1" applyBorder="1" applyAlignment="1" applyProtection="1">
      <alignment horizontal="center"/>
      <protection hidden="1"/>
    </xf>
    <xf numFmtId="165" fontId="38" fillId="18" borderId="8" xfId="0" applyNumberFormat="1" applyFont="1" applyFill="1" applyBorder="1" applyAlignment="1" applyProtection="1">
      <alignment horizontal="center" vertical="center"/>
      <protection hidden="1"/>
    </xf>
    <xf numFmtId="165" fontId="44" fillId="18" borderId="8" xfId="0" applyNumberFormat="1" applyFont="1" applyFill="1" applyBorder="1" applyAlignment="1" applyProtection="1">
      <alignment horizontal="center" vertical="center" wrapText="1"/>
      <protection hidden="1"/>
    </xf>
    <xf numFmtId="0" fontId="22" fillId="6" borderId="79" xfId="0" applyFont="1" applyFill="1" applyBorder="1" applyAlignment="1" applyProtection="1">
      <alignment vertical="center" wrapText="1" readingOrder="1"/>
      <protection locked="0"/>
    </xf>
    <xf numFmtId="0" fontId="14" fillId="0" borderId="12" xfId="0" applyFont="1" applyFill="1" applyBorder="1" applyAlignment="1" applyProtection="1">
      <protection locked="0"/>
    </xf>
    <xf numFmtId="0" fontId="22" fillId="6" borderId="102" xfId="0" applyFont="1" applyFill="1" applyBorder="1" applyAlignment="1" applyProtection="1">
      <alignment vertical="center" wrapText="1" readingOrder="1"/>
      <protection locked="0"/>
    </xf>
    <xf numFmtId="0" fontId="22" fillId="6" borderId="101" xfId="0" applyFont="1" applyFill="1" applyBorder="1" applyAlignment="1" applyProtection="1">
      <alignment vertical="center" wrapText="1" readingOrder="1"/>
      <protection locked="0"/>
    </xf>
    <xf numFmtId="0" fontId="94" fillId="26" borderId="72" xfId="9" applyFont="1" applyBorder="1" applyAlignment="1" applyProtection="1">
      <alignment horizontal="center" vertical="center" wrapText="1"/>
      <protection locked="0"/>
    </xf>
    <xf numFmtId="0" fontId="94" fillId="26" borderId="8" xfId="9" applyFont="1" applyBorder="1" applyAlignment="1" applyProtection="1">
      <alignment horizontal="center" vertical="center"/>
      <protection locked="0"/>
    </xf>
    <xf numFmtId="0" fontId="94" fillId="26" borderId="8" xfId="9" applyFont="1" applyBorder="1" applyAlignment="1" applyProtection="1">
      <alignment horizontal="center" vertical="center" wrapText="1"/>
      <protection locked="0"/>
    </xf>
    <xf numFmtId="0" fontId="94" fillId="26" borderId="44" xfId="9" applyFont="1" applyBorder="1" applyAlignment="1" applyProtection="1">
      <alignment horizontal="center" vertical="center" wrapText="1"/>
      <protection locked="0"/>
    </xf>
    <xf numFmtId="166" fontId="50" fillId="14" borderId="72" xfId="1" applyNumberFormat="1" applyBorder="1" applyAlignment="1" applyProtection="1">
      <alignment horizontal="center" vertical="center" wrapText="1"/>
      <protection locked="0"/>
    </xf>
    <xf numFmtId="1" fontId="9" fillId="21" borderId="8" xfId="4" applyNumberFormat="1" applyBorder="1" applyAlignment="1" applyProtection="1">
      <alignment horizontal="center" vertical="center" wrapText="1"/>
      <protection locked="0"/>
    </xf>
    <xf numFmtId="166" fontId="50" fillId="14" borderId="8" xfId="1" applyNumberFormat="1" applyBorder="1" applyAlignment="1" applyProtection="1">
      <alignment horizontal="center" vertical="center"/>
      <protection locked="0"/>
    </xf>
    <xf numFmtId="1" fontId="9" fillId="21" borderId="47" xfId="4" applyNumberFormat="1" applyBorder="1" applyAlignment="1" applyProtection="1">
      <alignment horizontal="center" vertical="center"/>
      <protection locked="0"/>
    </xf>
    <xf numFmtId="1" fontId="9" fillId="21" borderId="8" xfId="4" applyNumberFormat="1" applyBorder="1" applyAlignment="1" applyProtection="1">
      <alignment horizontal="center" vertical="center"/>
      <protection locked="0"/>
    </xf>
    <xf numFmtId="166" fontId="50" fillId="14" borderId="47" xfId="1" applyNumberFormat="1" applyBorder="1" applyAlignment="1" applyProtection="1">
      <alignment horizontal="center" vertical="center"/>
      <protection locked="0"/>
    </xf>
    <xf numFmtId="1" fontId="9" fillId="21" borderId="9" xfId="4" applyNumberFormat="1" applyBorder="1" applyAlignment="1" applyProtection="1">
      <alignment horizontal="center" vertical="center"/>
      <protection locked="0"/>
    </xf>
    <xf numFmtId="166" fontId="50" fillId="14" borderId="6" xfId="1" applyNumberFormat="1" applyBorder="1" applyAlignment="1" applyProtection="1">
      <alignment horizontal="center" vertical="center" wrapText="1"/>
      <protection locked="0"/>
    </xf>
    <xf numFmtId="1" fontId="9" fillId="21" borderId="9" xfId="4" applyNumberFormat="1" applyBorder="1" applyAlignment="1" applyProtection="1">
      <alignment horizontal="center" vertical="center" wrapText="1"/>
      <protection locked="0"/>
    </xf>
    <xf numFmtId="166" fontId="50" fillId="14" borderId="9" xfId="1" applyNumberFormat="1" applyBorder="1" applyAlignment="1" applyProtection="1">
      <alignment horizontal="center" vertical="center"/>
      <protection locked="0"/>
    </xf>
    <xf numFmtId="1" fontId="9" fillId="21" borderId="7" xfId="4" applyNumberFormat="1" applyBorder="1" applyAlignment="1" applyProtection="1">
      <alignment horizontal="center" vertical="center"/>
      <protection locked="0"/>
    </xf>
    <xf numFmtId="166" fontId="50" fillId="14" borderId="7" xfId="1" applyNumberFormat="1" applyBorder="1" applyAlignment="1" applyProtection="1">
      <alignment horizontal="center" vertical="center"/>
      <protection locked="0"/>
    </xf>
    <xf numFmtId="1" fontId="9" fillId="21" borderId="76" xfId="4" applyNumberFormat="1" applyBorder="1" applyAlignment="1" applyProtection="1">
      <alignment horizontal="center" vertical="center"/>
      <protection locked="0"/>
    </xf>
    <xf numFmtId="166" fontId="50" fillId="14" borderId="79" xfId="1" applyNumberFormat="1" applyBorder="1" applyAlignment="1" applyProtection="1">
      <alignment horizontal="center" vertical="center"/>
      <protection locked="0"/>
    </xf>
    <xf numFmtId="1" fontId="9" fillId="21" borderId="11" xfId="4" applyNumberFormat="1" applyBorder="1" applyAlignment="1" applyProtection="1">
      <alignment horizontal="center" vertical="center"/>
      <protection locked="0"/>
    </xf>
    <xf numFmtId="166" fontId="50" fillId="14" borderId="4" xfId="1" applyNumberFormat="1" applyBorder="1" applyAlignment="1" applyProtection="1">
      <alignment horizontal="center" vertical="center" wrapText="1"/>
      <protection locked="0"/>
    </xf>
    <xf numFmtId="1" fontId="9" fillId="21" borderId="79" xfId="4" applyNumberFormat="1" applyBorder="1" applyAlignment="1" applyProtection="1">
      <alignment horizontal="center" vertical="center" wrapText="1"/>
      <protection locked="0"/>
    </xf>
    <xf numFmtId="1" fontId="9" fillId="21" borderId="43" xfId="4" applyNumberFormat="1" applyBorder="1" applyAlignment="1" applyProtection="1">
      <alignment horizontal="center" vertical="center"/>
      <protection locked="0"/>
    </xf>
    <xf numFmtId="1" fontId="9" fillId="21" borderId="79" xfId="4" applyNumberFormat="1" applyBorder="1" applyAlignment="1" applyProtection="1">
      <alignment horizontal="center" vertical="center"/>
      <protection locked="0"/>
    </xf>
    <xf numFmtId="166" fontId="50" fillId="14" borderId="43" xfId="1" applyNumberFormat="1" applyBorder="1" applyAlignment="1" applyProtection="1">
      <alignment horizontal="center" vertical="center"/>
      <protection locked="0"/>
    </xf>
    <xf numFmtId="166" fontId="0" fillId="0" borderId="6" xfId="0" applyNumberFormat="1" applyBorder="1" applyAlignment="1" applyProtection="1">
      <alignment horizontal="center"/>
      <protection locked="0"/>
    </xf>
    <xf numFmtId="1" fontId="0" fillId="0" borderId="9" xfId="0" applyNumberFormat="1" applyBorder="1" applyAlignment="1" applyProtection="1">
      <alignment horizontal="center"/>
      <protection locked="0"/>
    </xf>
    <xf numFmtId="166" fontId="38" fillId="0" borderId="9" xfId="0" applyNumberFormat="1" applyFont="1" applyBorder="1" applyProtection="1">
      <protection locked="0"/>
    </xf>
    <xf numFmtId="166" fontId="38" fillId="0" borderId="7" xfId="0" applyNumberFormat="1" applyFont="1" applyBorder="1" applyProtection="1">
      <protection locked="0"/>
    </xf>
    <xf numFmtId="166" fontId="0" fillId="0" borderId="9" xfId="0" applyNumberFormat="1" applyBorder="1" applyAlignment="1" applyProtection="1">
      <alignment horizontal="center"/>
      <protection locked="0"/>
    </xf>
    <xf numFmtId="166" fontId="0" fillId="0" borderId="7" xfId="0" applyNumberFormat="1" applyBorder="1" applyAlignment="1" applyProtection="1">
      <alignment horizontal="center"/>
      <protection locked="0"/>
    </xf>
    <xf numFmtId="166" fontId="0" fillId="0" borderId="0" xfId="0" applyNumberFormat="1" applyBorder="1" applyAlignment="1" applyProtection="1">
      <alignment horizontal="center"/>
      <protection locked="0"/>
    </xf>
    <xf numFmtId="166" fontId="50" fillId="14" borderId="72" xfId="1" applyNumberFormat="1" applyBorder="1" applyAlignment="1" applyProtection="1">
      <alignment horizontal="center" vertical="center"/>
      <protection locked="0"/>
    </xf>
    <xf numFmtId="166" fontId="50" fillId="14" borderId="100" xfId="1" applyNumberFormat="1" applyBorder="1" applyAlignment="1" applyProtection="1">
      <alignment horizontal="center" vertical="center"/>
      <protection locked="0"/>
    </xf>
    <xf numFmtId="1" fontId="9" fillId="21" borderId="44" xfId="4" applyNumberFormat="1" applyBorder="1" applyAlignment="1" applyProtection="1">
      <alignment horizontal="center" vertical="center"/>
      <protection locked="0"/>
    </xf>
    <xf numFmtId="0" fontId="99" fillId="0" borderId="0" xfId="0" applyFont="1" applyProtection="1">
      <protection locked="0"/>
    </xf>
    <xf numFmtId="49" fontId="50" fillId="25" borderId="72" xfId="8" applyNumberFormat="1" applyBorder="1" applyAlignment="1" applyProtection="1">
      <alignment horizontal="center" vertical="center" wrapText="1"/>
      <protection locked="0"/>
    </xf>
    <xf numFmtId="0" fontId="50" fillId="14" borderId="72" xfId="1" applyBorder="1" applyAlignment="1" applyProtection="1">
      <alignment horizontal="center" vertical="center" wrapText="1"/>
      <protection locked="0"/>
    </xf>
    <xf numFmtId="0" fontId="50" fillId="14" borderId="8" xfId="1" applyBorder="1" applyAlignment="1" applyProtection="1">
      <alignment horizontal="center" vertical="center" wrapText="1"/>
      <protection locked="0"/>
    </xf>
    <xf numFmtId="0" fontId="50" fillId="14" borderId="47" xfId="1" applyBorder="1" applyAlignment="1" applyProtection="1">
      <alignment horizontal="center" vertical="center" wrapText="1"/>
      <protection locked="0"/>
    </xf>
    <xf numFmtId="0" fontId="50" fillId="14" borderId="44" xfId="1" applyBorder="1" applyAlignment="1" applyProtection="1">
      <alignment horizontal="center" vertical="center" wrapText="1"/>
      <protection locked="0"/>
    </xf>
    <xf numFmtId="3" fontId="8" fillId="30" borderId="8" xfId="13" applyNumberFormat="1" applyBorder="1" applyAlignment="1" applyProtection="1">
      <alignment horizontal="center" vertical="center" wrapText="1"/>
      <protection locked="0"/>
    </xf>
    <xf numFmtId="0" fontId="8" fillId="30" borderId="47" xfId="13" applyBorder="1" applyAlignment="1" applyProtection="1">
      <alignment horizontal="center" vertical="center" wrapText="1"/>
      <protection locked="0"/>
    </xf>
    <xf numFmtId="0" fontId="8" fillId="30" borderId="8" xfId="13" applyBorder="1" applyAlignment="1" applyProtection="1">
      <alignment horizontal="center" vertical="center" wrapText="1"/>
      <protection locked="0"/>
    </xf>
    <xf numFmtId="0" fontId="8" fillId="30" borderId="44" xfId="13" applyBorder="1" applyAlignment="1" applyProtection="1">
      <alignment horizontal="center" vertical="center" wrapText="1"/>
      <protection locked="0"/>
    </xf>
    <xf numFmtId="3" fontId="8" fillId="30" borderId="44" xfId="13" applyNumberFormat="1" applyBorder="1" applyAlignment="1" applyProtection="1">
      <alignment horizontal="center" vertical="center" wrapText="1"/>
      <protection locked="0"/>
    </xf>
    <xf numFmtId="0" fontId="50" fillId="14" borderId="6" xfId="1" applyBorder="1" applyAlignment="1" applyProtection="1">
      <alignment horizontal="center" vertical="center" wrapText="1"/>
      <protection locked="0"/>
    </xf>
    <xf numFmtId="0" fontId="8" fillId="30" borderId="9" xfId="13" applyBorder="1" applyAlignment="1" applyProtection="1">
      <alignment horizontal="center" vertical="center" wrapText="1"/>
      <protection locked="0"/>
    </xf>
    <xf numFmtId="0" fontId="8" fillId="30" borderId="7" xfId="13" applyBorder="1" applyAlignment="1" applyProtection="1">
      <alignment horizontal="center" vertical="center" wrapText="1"/>
      <protection locked="0"/>
    </xf>
    <xf numFmtId="0" fontId="8" fillId="30" borderId="0" xfId="13" applyBorder="1" applyAlignment="1" applyProtection="1">
      <alignment horizontal="center" vertical="center" wrapText="1"/>
      <protection locked="0"/>
    </xf>
    <xf numFmtId="0" fontId="50" fillId="14" borderId="40" xfId="1" applyBorder="1" applyAlignment="1" applyProtection="1">
      <alignment horizontal="center" vertical="center" wrapText="1"/>
      <protection locked="0"/>
    </xf>
    <xf numFmtId="0" fontId="8" fillId="30" borderId="83" xfId="13" applyBorder="1" applyAlignment="1" applyProtection="1">
      <alignment horizontal="center" vertical="center" wrapText="1"/>
      <protection locked="0"/>
    </xf>
    <xf numFmtId="0" fontId="8" fillId="30" borderId="42" xfId="13" applyBorder="1" applyAlignment="1" applyProtection="1">
      <alignment horizontal="center" vertical="center" wrapText="1"/>
      <protection locked="0"/>
    </xf>
    <xf numFmtId="0" fontId="8" fillId="30" borderId="41" xfId="13" applyBorder="1" applyAlignment="1" applyProtection="1">
      <alignment horizontal="center" vertical="center" wrapText="1"/>
      <protection locked="0"/>
    </xf>
    <xf numFmtId="0" fontId="0" fillId="0" borderId="15" xfId="0" applyBorder="1" applyAlignment="1" applyProtection="1">
      <alignment horizontal="center"/>
      <protection locked="0"/>
    </xf>
    <xf numFmtId="165" fontId="31" fillId="19" borderId="83" xfId="0" applyNumberFormat="1" applyFont="1" applyFill="1" applyBorder="1" applyAlignment="1" applyProtection="1">
      <alignment horizontal="center" vertical="center"/>
      <protection locked="0"/>
    </xf>
    <xf numFmtId="1" fontId="31" fillId="19" borderId="83" xfId="0" applyNumberFormat="1" applyFont="1" applyFill="1" applyBorder="1" applyAlignment="1" applyProtection="1">
      <alignment horizontal="center" vertical="center"/>
      <protection locked="0"/>
    </xf>
    <xf numFmtId="165" fontId="31" fillId="19" borderId="8" xfId="0" applyNumberFormat="1" applyFont="1" applyFill="1" applyBorder="1" applyAlignment="1" applyProtection="1">
      <alignment vertical="center"/>
      <protection locked="0"/>
    </xf>
    <xf numFmtId="166" fontId="9" fillId="21" borderId="99" xfId="4" applyNumberFormat="1" applyBorder="1" applyAlignment="1" applyProtection="1">
      <alignment horizontal="center" vertical="center"/>
      <protection hidden="1"/>
    </xf>
    <xf numFmtId="0" fontId="50" fillId="26" borderId="106" xfId="9" applyFont="1" applyBorder="1" applyAlignment="1" applyProtection="1">
      <alignment horizontal="center" vertical="center" wrapText="1"/>
      <protection hidden="1"/>
    </xf>
    <xf numFmtId="0" fontId="14" fillId="0" borderId="72" xfId="0" applyFont="1" applyBorder="1" applyAlignment="1" applyProtection="1">
      <alignment horizontal="center"/>
      <protection locked="0"/>
    </xf>
    <xf numFmtId="0" fontId="14" fillId="0" borderId="44" xfId="0" applyFont="1" applyBorder="1" applyAlignment="1" applyProtection="1">
      <alignment horizontal="center"/>
      <protection locked="0"/>
    </xf>
    <xf numFmtId="0" fontId="14" fillId="0" borderId="44" xfId="0" applyFont="1" applyBorder="1" applyAlignment="1" applyProtection="1">
      <alignment horizontal="center" vertical="center"/>
      <protection locked="0"/>
    </xf>
    <xf numFmtId="0" fontId="0" fillId="0" borderId="47" xfId="0" applyBorder="1" applyProtection="1">
      <protection locked="0"/>
    </xf>
    <xf numFmtId="2" fontId="38" fillId="19" borderId="9" xfId="0" applyNumberFormat="1" applyFont="1" applyFill="1" applyBorder="1" applyAlignment="1" applyProtection="1">
      <alignment horizontal="center"/>
      <protection hidden="1"/>
    </xf>
    <xf numFmtId="0" fontId="0" fillId="0" borderId="43" xfId="0" applyBorder="1" applyAlignment="1" applyProtection="1">
      <alignment horizontal="center"/>
      <protection locked="0"/>
    </xf>
    <xf numFmtId="0" fontId="14" fillId="0" borderId="9" xfId="0" applyFont="1" applyBorder="1" applyAlignment="1" applyProtection="1">
      <alignment horizontal="center"/>
      <protection locked="0"/>
    </xf>
    <xf numFmtId="0" fontId="22" fillId="11" borderId="41" xfId="0" applyFont="1" applyFill="1" applyBorder="1" applyAlignment="1" applyProtection="1">
      <alignment horizontal="center" vertical="top" wrapText="1" readingOrder="1"/>
      <protection hidden="1"/>
    </xf>
    <xf numFmtId="0" fontId="22" fillId="11" borderId="42" xfId="0" applyFont="1" applyFill="1" applyBorder="1" applyAlignment="1" applyProtection="1">
      <alignment horizontal="center" vertical="top" wrapText="1" readingOrder="1"/>
      <protection hidden="1"/>
    </xf>
    <xf numFmtId="0" fontId="81" fillId="31" borderId="4" xfId="14" applyFont="1" applyBorder="1" applyAlignment="1" applyProtection="1">
      <alignment horizontal="center" vertical="center" wrapText="1"/>
      <protection hidden="1"/>
    </xf>
    <xf numFmtId="0" fontId="81" fillId="31" borderId="43" xfId="14" applyFont="1" applyBorder="1" applyAlignment="1" applyProtection="1">
      <alignment horizontal="center" vertical="center" wrapText="1"/>
      <protection hidden="1"/>
    </xf>
    <xf numFmtId="0" fontId="81" fillId="31" borderId="6" xfId="14" applyFont="1" applyBorder="1" applyAlignment="1" applyProtection="1">
      <alignment horizontal="center" vertical="center" wrapText="1"/>
      <protection hidden="1"/>
    </xf>
    <xf numFmtId="0" fontId="81" fillId="31" borderId="7" xfId="14" applyFont="1" applyBorder="1" applyAlignment="1" applyProtection="1">
      <alignment horizontal="center" vertical="center" wrapText="1"/>
      <protection hidden="1"/>
    </xf>
    <xf numFmtId="0" fontId="81" fillId="31" borderId="40" xfId="14" applyFont="1" applyBorder="1" applyAlignment="1" applyProtection="1">
      <alignment horizontal="center" vertical="center" wrapText="1"/>
      <protection hidden="1"/>
    </xf>
    <xf numFmtId="0" fontId="81" fillId="31" borderId="42" xfId="14" applyFont="1" applyBorder="1" applyAlignment="1" applyProtection="1">
      <alignment horizontal="center" vertical="center" wrapText="1"/>
      <protection hidden="1"/>
    </xf>
    <xf numFmtId="165" fontId="77" fillId="14" borderId="79" xfId="1" applyNumberFormat="1" applyFont="1" applyBorder="1" applyAlignment="1" applyProtection="1">
      <alignment horizontal="center" vertical="center"/>
      <protection hidden="1"/>
    </xf>
    <xf numFmtId="165" fontId="77" fillId="14" borderId="9" xfId="1" applyNumberFormat="1" applyFont="1" applyBorder="1" applyAlignment="1" applyProtection="1">
      <alignment horizontal="center" vertical="center"/>
      <protection hidden="1"/>
    </xf>
    <xf numFmtId="165" fontId="77" fillId="14" borderId="83" xfId="1" applyNumberFormat="1" applyFont="1" applyBorder="1" applyAlignment="1" applyProtection="1">
      <alignment horizontal="center" vertical="center"/>
      <protection hidden="1"/>
    </xf>
    <xf numFmtId="165" fontId="77" fillId="14" borderId="43" xfId="1" applyNumberFormat="1" applyFont="1" applyBorder="1" applyAlignment="1" applyProtection="1">
      <alignment horizontal="center" vertical="center"/>
      <protection hidden="1"/>
    </xf>
    <xf numFmtId="165" fontId="77" fillId="14" borderId="7" xfId="1" applyNumberFormat="1" applyFont="1" applyBorder="1" applyAlignment="1" applyProtection="1">
      <alignment horizontal="center" vertical="center"/>
      <protection hidden="1"/>
    </xf>
    <xf numFmtId="165" fontId="77" fillId="14" borderId="42" xfId="1" applyNumberFormat="1" applyFont="1" applyBorder="1" applyAlignment="1" applyProtection="1">
      <alignment horizontal="center" vertical="center"/>
      <protection hidden="1"/>
    </xf>
    <xf numFmtId="0" fontId="80" fillId="5" borderId="5" xfId="0" applyFont="1" applyFill="1" applyBorder="1" applyAlignment="1" applyProtection="1">
      <alignment horizontal="center" vertical="center" wrapText="1" readingOrder="1"/>
      <protection hidden="1"/>
    </xf>
    <xf numFmtId="0" fontId="80" fillId="5" borderId="43" xfId="0" applyFont="1" applyFill="1" applyBorder="1" applyAlignment="1" applyProtection="1">
      <alignment horizontal="center" vertical="center" wrapText="1" readingOrder="1"/>
      <protection hidden="1"/>
    </xf>
    <xf numFmtId="0" fontId="22" fillId="5" borderId="4" xfId="0" applyFont="1" applyFill="1" applyBorder="1" applyAlignment="1" applyProtection="1">
      <alignment horizontal="center" vertical="center" wrapText="1" readingOrder="1"/>
      <protection hidden="1"/>
    </xf>
    <xf numFmtId="0" fontId="22" fillId="5" borderId="5" xfId="0" applyFont="1" applyFill="1" applyBorder="1" applyAlignment="1" applyProtection="1">
      <alignment horizontal="center" vertical="center" wrapText="1" readingOrder="1"/>
      <protection hidden="1"/>
    </xf>
    <xf numFmtId="0" fontId="22" fillId="5" borderId="43" xfId="0" applyFont="1" applyFill="1" applyBorder="1" applyAlignment="1" applyProtection="1">
      <alignment horizontal="center" vertical="center" wrapText="1" readingOrder="1"/>
      <protection hidden="1"/>
    </xf>
    <xf numFmtId="0" fontId="61" fillId="29" borderId="44" xfId="12" applyFont="1" applyBorder="1" applyAlignment="1" applyProtection="1">
      <alignment horizontal="center" vertical="center"/>
      <protection hidden="1"/>
    </xf>
    <xf numFmtId="0" fontId="61" fillId="29" borderId="47" xfId="12" applyFont="1" applyBorder="1" applyAlignment="1" applyProtection="1">
      <alignment horizontal="center" vertical="center"/>
      <protection hidden="1"/>
    </xf>
    <xf numFmtId="0" fontId="70" fillId="16" borderId="4" xfId="3" applyFont="1" applyBorder="1" applyAlignment="1" applyProtection="1">
      <alignment horizontal="center" vertical="center"/>
      <protection hidden="1"/>
    </xf>
    <xf numFmtId="0" fontId="70" fillId="16" borderId="5" xfId="3" applyFont="1" applyBorder="1" applyAlignment="1" applyProtection="1">
      <alignment horizontal="center" vertical="center"/>
      <protection hidden="1"/>
    </xf>
    <xf numFmtId="0" fontId="70" fillId="16" borderId="43" xfId="3" applyFont="1" applyBorder="1" applyAlignment="1" applyProtection="1">
      <alignment horizontal="center" vertical="center"/>
      <protection hidden="1"/>
    </xf>
    <xf numFmtId="0" fontId="70" fillId="16" borderId="40" xfId="3" applyFont="1" applyBorder="1" applyAlignment="1" applyProtection="1">
      <alignment horizontal="center" vertical="center"/>
      <protection hidden="1"/>
    </xf>
    <xf numFmtId="0" fontId="70" fillId="16" borderId="41" xfId="3" applyFont="1" applyBorder="1" applyAlignment="1" applyProtection="1">
      <alignment horizontal="center" vertical="center"/>
      <protection hidden="1"/>
    </xf>
    <xf numFmtId="0" fontId="70" fillId="16" borderId="42" xfId="3" applyFont="1" applyBorder="1" applyAlignment="1" applyProtection="1">
      <alignment horizontal="center" vertical="center"/>
      <protection hidden="1"/>
    </xf>
    <xf numFmtId="0" fontId="45" fillId="14" borderId="4" xfId="1" applyFont="1" applyBorder="1" applyAlignment="1" applyProtection="1">
      <alignment horizontal="center" vertical="center"/>
      <protection hidden="1"/>
    </xf>
    <xf numFmtId="0" fontId="45" fillId="14" borderId="5" xfId="1" applyFont="1" applyBorder="1" applyAlignment="1" applyProtection="1">
      <alignment horizontal="center" vertical="center"/>
      <protection hidden="1"/>
    </xf>
    <xf numFmtId="0" fontId="45" fillId="14" borderId="43" xfId="1" applyFont="1" applyBorder="1" applyAlignment="1" applyProtection="1">
      <alignment horizontal="center" vertical="center"/>
      <protection hidden="1"/>
    </xf>
    <xf numFmtId="0" fontId="45" fillId="14" borderId="40" xfId="1" applyFont="1" applyBorder="1" applyAlignment="1" applyProtection="1">
      <alignment horizontal="center" vertical="center"/>
      <protection hidden="1"/>
    </xf>
    <xf numFmtId="0" fontId="45" fillId="14" borderId="41" xfId="1" applyFont="1" applyBorder="1" applyAlignment="1" applyProtection="1">
      <alignment horizontal="center" vertical="center"/>
      <protection hidden="1"/>
    </xf>
    <xf numFmtId="0" fontId="45" fillId="14" borderId="42" xfId="1" applyFont="1" applyBorder="1" applyAlignment="1" applyProtection="1">
      <alignment horizontal="center" vertical="center"/>
      <protection hidden="1"/>
    </xf>
    <xf numFmtId="0" fontId="31" fillId="10" borderId="117" xfId="0" applyFont="1" applyFill="1" applyBorder="1" applyAlignment="1" applyProtection="1">
      <alignment horizontal="center" vertical="center" wrapText="1"/>
      <protection hidden="1"/>
    </xf>
    <xf numFmtId="0" fontId="31" fillId="10" borderId="33" xfId="0" applyFont="1" applyFill="1" applyBorder="1" applyAlignment="1" applyProtection="1">
      <alignment horizontal="center" vertical="center" wrapText="1"/>
      <protection hidden="1"/>
    </xf>
    <xf numFmtId="0" fontId="31" fillId="10" borderId="7" xfId="0" applyFont="1" applyFill="1" applyBorder="1" applyAlignment="1" applyProtection="1">
      <alignment horizontal="center" vertical="center" wrapText="1"/>
      <protection hidden="1"/>
    </xf>
    <xf numFmtId="0" fontId="31" fillId="10" borderId="42" xfId="0" applyFont="1" applyFill="1" applyBorder="1" applyAlignment="1" applyProtection="1">
      <alignment horizontal="center" vertical="center" wrapText="1"/>
      <protection hidden="1"/>
    </xf>
    <xf numFmtId="0" fontId="8" fillId="30" borderId="43" xfId="13" applyBorder="1" applyAlignment="1" applyProtection="1">
      <alignment horizontal="center" vertical="center"/>
      <protection hidden="1"/>
    </xf>
    <xf numFmtId="0" fontId="8" fillId="30" borderId="7" xfId="13" applyBorder="1" applyAlignment="1" applyProtection="1">
      <alignment horizontal="center" vertical="center"/>
      <protection hidden="1"/>
    </xf>
    <xf numFmtId="0" fontId="8" fillId="30" borderId="42" xfId="13" applyBorder="1" applyAlignment="1" applyProtection="1">
      <alignment horizontal="center" vertical="center"/>
      <protection hidden="1"/>
    </xf>
    <xf numFmtId="0" fontId="8" fillId="30" borderId="18" xfId="13" applyBorder="1" applyAlignment="1" applyProtection="1">
      <alignment horizontal="center" vertical="center"/>
      <protection hidden="1"/>
    </xf>
    <xf numFmtId="0" fontId="22" fillId="6" borderId="79" xfId="0" applyFont="1" applyFill="1" applyBorder="1" applyAlignment="1" applyProtection="1">
      <alignment horizontal="center" vertical="center" wrapText="1" readingOrder="1"/>
      <protection hidden="1"/>
    </xf>
    <xf numFmtId="0" fontId="22" fillId="6" borderId="9" xfId="0" applyFont="1" applyFill="1" applyBorder="1" applyAlignment="1" applyProtection="1">
      <alignment horizontal="center" vertical="center" wrapText="1" readingOrder="1"/>
      <protection hidden="1"/>
    </xf>
    <xf numFmtId="0" fontId="22" fillId="6" borderId="83" xfId="0" applyFont="1" applyFill="1" applyBorder="1" applyAlignment="1" applyProtection="1">
      <alignment horizontal="center" vertical="center" wrapText="1" readingOrder="1"/>
      <protection hidden="1"/>
    </xf>
    <xf numFmtId="0" fontId="22" fillId="6" borderId="44" xfId="0" applyFont="1" applyFill="1" applyBorder="1" applyAlignment="1" applyProtection="1">
      <alignment horizontal="center" vertical="center" wrapText="1" readingOrder="1"/>
      <protection hidden="1"/>
    </xf>
    <xf numFmtId="0" fontId="22" fillId="6" borderId="47" xfId="0" applyFont="1" applyFill="1" applyBorder="1" applyAlignment="1" applyProtection="1">
      <alignment horizontal="center" vertical="center" wrapText="1" readingOrder="1"/>
      <protection hidden="1"/>
    </xf>
    <xf numFmtId="2" fontId="28" fillId="7" borderId="4" xfId="0" applyNumberFormat="1" applyFont="1" applyFill="1" applyBorder="1" applyAlignment="1" applyProtection="1">
      <alignment horizontal="center" vertical="center"/>
      <protection hidden="1"/>
    </xf>
    <xf numFmtId="2" fontId="28" fillId="7" borderId="5" xfId="0" applyNumberFormat="1" applyFont="1" applyFill="1" applyBorder="1" applyAlignment="1" applyProtection="1">
      <alignment horizontal="center" vertical="center"/>
      <protection hidden="1"/>
    </xf>
    <xf numFmtId="2" fontId="28" fillId="7" borderId="43" xfId="0" applyNumberFormat="1" applyFont="1" applyFill="1" applyBorder="1" applyAlignment="1" applyProtection="1">
      <alignment horizontal="center" vertical="center"/>
      <protection hidden="1"/>
    </xf>
    <xf numFmtId="2" fontId="28" fillId="7" borderId="40" xfId="0" applyNumberFormat="1" applyFont="1" applyFill="1" applyBorder="1" applyAlignment="1" applyProtection="1">
      <alignment horizontal="center" vertical="center"/>
      <protection hidden="1"/>
    </xf>
    <xf numFmtId="2" fontId="28" fillId="7" borderId="41" xfId="0" applyNumberFormat="1" applyFont="1" applyFill="1" applyBorder="1" applyAlignment="1" applyProtection="1">
      <alignment horizontal="center" vertical="center"/>
      <protection hidden="1"/>
    </xf>
    <xf numFmtId="2" fontId="28" fillId="7" borderId="42" xfId="0" applyNumberFormat="1" applyFont="1" applyFill="1" applyBorder="1" applyAlignment="1" applyProtection="1">
      <alignment horizontal="center" vertical="center"/>
      <protection hidden="1"/>
    </xf>
    <xf numFmtId="0" fontId="27" fillId="7" borderId="43" xfId="0" applyFont="1" applyFill="1" applyBorder="1" applyAlignment="1" applyProtection="1">
      <alignment horizontal="center" vertical="center" wrapText="1"/>
      <protection hidden="1"/>
    </xf>
    <xf numFmtId="0" fontId="27" fillId="7" borderId="42" xfId="0" applyFont="1" applyFill="1" applyBorder="1" applyAlignment="1" applyProtection="1">
      <alignment horizontal="center" vertical="center" wrapText="1"/>
      <protection hidden="1"/>
    </xf>
    <xf numFmtId="2" fontId="30" fillId="8" borderId="0" xfId="0" applyNumberFormat="1" applyFont="1" applyFill="1" applyBorder="1" applyAlignment="1" applyProtection="1">
      <alignment horizontal="center" vertical="center"/>
      <protection hidden="1"/>
    </xf>
    <xf numFmtId="2" fontId="30" fillId="8" borderId="7" xfId="0" applyNumberFormat="1" applyFont="1" applyFill="1" applyBorder="1" applyAlignment="1" applyProtection="1">
      <alignment horizontal="center" vertical="center"/>
      <protection hidden="1"/>
    </xf>
    <xf numFmtId="2" fontId="30" fillId="8" borderId="23" xfId="0" applyNumberFormat="1" applyFont="1" applyFill="1" applyBorder="1" applyAlignment="1" applyProtection="1">
      <alignment horizontal="center" vertical="center"/>
      <protection hidden="1"/>
    </xf>
    <xf numFmtId="2" fontId="30" fillId="8" borderId="35" xfId="0" applyNumberFormat="1" applyFont="1" applyFill="1" applyBorder="1" applyAlignment="1" applyProtection="1">
      <alignment horizontal="center" vertical="center"/>
      <protection hidden="1"/>
    </xf>
    <xf numFmtId="0" fontId="17" fillId="8" borderId="43" xfId="0" applyFont="1" applyFill="1" applyBorder="1" applyAlignment="1" applyProtection="1">
      <alignment horizontal="center" vertical="center" wrapText="1"/>
      <protection hidden="1"/>
    </xf>
    <xf numFmtId="0" fontId="17" fillId="8" borderId="35" xfId="0" applyFont="1" applyFill="1" applyBorder="1" applyAlignment="1" applyProtection="1">
      <alignment horizontal="center" vertical="center" wrapText="1"/>
      <protection hidden="1"/>
    </xf>
    <xf numFmtId="0" fontId="77" fillId="14" borderId="5" xfId="1" applyFont="1" applyBorder="1" applyAlignment="1" applyProtection="1">
      <alignment horizontal="center" vertical="center"/>
      <protection hidden="1"/>
    </xf>
    <xf numFmtId="0" fontId="77" fillId="14" borderId="43" xfId="1" applyFont="1" applyBorder="1" applyAlignment="1" applyProtection="1">
      <alignment horizontal="center" vertical="center"/>
      <protection hidden="1"/>
    </xf>
    <xf numFmtId="0" fontId="77" fillId="14" borderId="41" xfId="1" applyFont="1" applyBorder="1" applyAlignment="1" applyProtection="1">
      <alignment horizontal="center" vertical="center"/>
      <protection hidden="1"/>
    </xf>
    <xf numFmtId="0" fontId="77" fillId="14" borderId="42" xfId="1" applyFont="1" applyBorder="1" applyAlignment="1" applyProtection="1">
      <alignment horizontal="center" vertical="center"/>
      <protection hidden="1"/>
    </xf>
    <xf numFmtId="0" fontId="22" fillId="11" borderId="0" xfId="0" applyFont="1" applyFill="1" applyBorder="1" applyAlignment="1" applyProtection="1">
      <alignment horizontal="center" wrapText="1" readingOrder="1"/>
      <protection hidden="1"/>
    </xf>
    <xf numFmtId="0" fontId="22" fillId="11" borderId="18" xfId="0" applyFont="1" applyFill="1" applyBorder="1" applyAlignment="1" applyProtection="1">
      <alignment horizontal="center" wrapText="1" readingOrder="1"/>
      <protection hidden="1"/>
    </xf>
    <xf numFmtId="0" fontId="22" fillId="11" borderId="6" xfId="0" applyFont="1" applyFill="1" applyBorder="1" applyAlignment="1" applyProtection="1">
      <alignment horizontal="center" wrapText="1" readingOrder="1"/>
      <protection hidden="1"/>
    </xf>
    <xf numFmtId="0" fontId="22" fillId="11" borderId="0" xfId="0" applyFont="1" applyFill="1" applyBorder="1" applyAlignment="1" applyProtection="1">
      <alignment horizontal="left" vertical="center" wrapText="1" readingOrder="1"/>
      <protection hidden="1"/>
    </xf>
    <xf numFmtId="0" fontId="22" fillId="11" borderId="7" xfId="0" applyFont="1" applyFill="1" applyBorder="1" applyAlignment="1" applyProtection="1">
      <alignment horizontal="left" vertical="center" wrapText="1" readingOrder="1"/>
      <protection hidden="1"/>
    </xf>
    <xf numFmtId="0" fontId="7" fillId="29" borderId="23" xfId="12" applyFont="1" applyBorder="1" applyAlignment="1" applyProtection="1">
      <alignment horizontal="center"/>
      <protection hidden="1"/>
    </xf>
    <xf numFmtId="0" fontId="8" fillId="29" borderId="23" xfId="12" applyBorder="1" applyAlignment="1" applyProtection="1">
      <alignment horizontal="center"/>
      <protection hidden="1"/>
    </xf>
    <xf numFmtId="0" fontId="8" fillId="29" borderId="19" xfId="12" applyBorder="1" applyAlignment="1" applyProtection="1">
      <alignment horizontal="center"/>
      <protection hidden="1"/>
    </xf>
    <xf numFmtId="0" fontId="56" fillId="23" borderId="7" xfId="6" applyFont="1" applyBorder="1" applyAlignment="1" applyProtection="1">
      <alignment horizontal="center" vertical="center"/>
      <protection hidden="1"/>
    </xf>
    <xf numFmtId="0" fontId="56" fillId="23" borderId="42" xfId="6" applyFont="1" applyBorder="1" applyAlignment="1" applyProtection="1">
      <alignment horizontal="center" vertical="center"/>
      <protection hidden="1"/>
    </xf>
    <xf numFmtId="0" fontId="45" fillId="27" borderId="72" xfId="10" applyFont="1" applyBorder="1" applyAlignment="1" applyProtection="1">
      <alignment horizontal="center" vertical="center"/>
      <protection hidden="1"/>
    </xf>
    <xf numFmtId="0" fontId="45" fillId="27" borderId="44" xfId="10" applyFont="1" applyBorder="1" applyAlignment="1" applyProtection="1">
      <alignment horizontal="center" vertical="center"/>
      <protection hidden="1"/>
    </xf>
    <xf numFmtId="0" fontId="45" fillId="27" borderId="47" xfId="10" applyFont="1" applyBorder="1" applyAlignment="1" applyProtection="1">
      <alignment horizontal="center" vertical="center"/>
      <protection hidden="1"/>
    </xf>
    <xf numFmtId="0" fontId="56" fillId="23" borderId="34" xfId="6" applyFont="1" applyBorder="1" applyAlignment="1" applyProtection="1">
      <alignment horizontal="left" vertical="center" wrapText="1"/>
      <protection hidden="1"/>
    </xf>
    <xf numFmtId="0" fontId="56" fillId="23" borderId="35" xfId="6" applyFont="1" applyBorder="1" applyAlignment="1" applyProtection="1">
      <alignment horizontal="left" vertical="center" wrapText="1"/>
      <protection hidden="1"/>
    </xf>
    <xf numFmtId="14" fontId="8" fillId="29" borderId="23" xfId="12" applyNumberFormat="1" applyBorder="1" applyAlignment="1" applyProtection="1">
      <alignment horizontal="center" vertical="center" wrapText="1"/>
      <protection locked="0"/>
    </xf>
    <xf numFmtId="0" fontId="15" fillId="0" borderId="0" xfId="0" applyFont="1" applyAlignment="1" applyProtection="1">
      <alignment horizontal="center"/>
      <protection hidden="1"/>
    </xf>
    <xf numFmtId="2" fontId="0" fillId="18" borderId="9" xfId="0" applyNumberFormat="1" applyFill="1" applyBorder="1" applyAlignment="1" applyProtection="1">
      <alignment horizontal="center" vertical="center"/>
      <protection hidden="1"/>
    </xf>
    <xf numFmtId="2" fontId="0" fillId="18" borderId="83" xfId="0" applyNumberFormat="1" applyFill="1" applyBorder="1" applyAlignment="1" applyProtection="1">
      <alignment horizontal="center" vertical="center"/>
      <protection hidden="1"/>
    </xf>
    <xf numFmtId="2" fontId="0" fillId="18" borderId="7" xfId="0" applyNumberFormat="1" applyFill="1" applyBorder="1" applyAlignment="1" applyProtection="1">
      <alignment horizontal="center" vertical="center"/>
      <protection hidden="1"/>
    </xf>
    <xf numFmtId="2" fontId="0" fillId="18" borderId="42" xfId="0" applyNumberFormat="1" applyFill="1" applyBorder="1" applyAlignment="1" applyProtection="1">
      <alignment horizontal="center" vertical="center"/>
      <protection hidden="1"/>
    </xf>
    <xf numFmtId="2" fontId="0" fillId="18" borderId="79" xfId="0" applyNumberFormat="1" applyFill="1" applyBorder="1" applyAlignment="1" applyProtection="1">
      <alignment horizontal="center" vertical="center"/>
      <protection hidden="1"/>
    </xf>
    <xf numFmtId="0" fontId="56" fillId="27" borderId="106" xfId="10" applyFont="1" applyBorder="1" applyAlignment="1" applyProtection="1">
      <alignment horizontal="center" vertical="center" wrapText="1"/>
      <protection hidden="1"/>
    </xf>
    <xf numFmtId="0" fontId="8" fillId="28" borderId="0" xfId="11" applyBorder="1" applyAlignment="1" applyProtection="1">
      <alignment horizontal="center" vertical="center"/>
      <protection hidden="1"/>
    </xf>
    <xf numFmtId="0" fontId="8" fillId="28" borderId="18" xfId="11" applyBorder="1" applyAlignment="1" applyProtection="1">
      <alignment horizontal="center" vertical="center"/>
      <protection hidden="1"/>
    </xf>
    <xf numFmtId="0" fontId="13" fillId="0" borderId="0" xfId="0" applyFont="1" applyFill="1" applyBorder="1" applyAlignment="1" applyProtection="1">
      <alignment horizontal="left" vertical="center"/>
      <protection locked="0"/>
    </xf>
    <xf numFmtId="0" fontId="8" fillId="28" borderId="40" xfId="11" applyBorder="1" applyAlignment="1" applyProtection="1">
      <alignment horizontal="center" vertical="center"/>
      <protection hidden="1"/>
    </xf>
    <xf numFmtId="0" fontId="8" fillId="28" borderId="41" xfId="11" applyBorder="1" applyAlignment="1" applyProtection="1">
      <alignment horizontal="center" vertical="center"/>
      <protection hidden="1"/>
    </xf>
    <xf numFmtId="0" fontId="8" fillId="28" borderId="77" xfId="11" applyBorder="1" applyAlignment="1" applyProtection="1">
      <alignment horizontal="center" vertical="center"/>
      <protection hidden="1"/>
    </xf>
    <xf numFmtId="2" fontId="61" fillId="28" borderId="41" xfId="11" applyNumberFormat="1" applyFont="1" applyBorder="1" applyAlignment="1" applyProtection="1">
      <alignment horizontal="center" vertical="center"/>
      <protection hidden="1"/>
    </xf>
    <xf numFmtId="2" fontId="61" fillId="28" borderId="77" xfId="11" applyNumberFormat="1" applyFont="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165" fontId="52" fillId="9" borderId="18" xfId="0" applyNumberFormat="1" applyFont="1" applyFill="1" applyBorder="1" applyAlignment="1" applyProtection="1">
      <alignment horizontal="center" vertical="center"/>
      <protection hidden="1"/>
    </xf>
    <xf numFmtId="165" fontId="52" fillId="9" borderId="19" xfId="0" applyNumberFormat="1" applyFont="1" applyFill="1" applyBorder="1" applyAlignment="1" applyProtection="1">
      <alignment horizontal="center" vertical="center"/>
      <protection hidden="1"/>
    </xf>
    <xf numFmtId="165" fontId="0" fillId="18" borderId="7" xfId="0" applyNumberFormat="1" applyFill="1" applyBorder="1" applyAlignment="1" applyProtection="1">
      <alignment horizontal="center" vertical="center"/>
      <protection hidden="1"/>
    </xf>
    <xf numFmtId="165" fontId="0" fillId="18" borderId="42" xfId="0" applyNumberFormat="1" applyFill="1" applyBorder="1" applyAlignment="1" applyProtection="1">
      <alignment horizontal="center" vertical="center"/>
      <protection hidden="1"/>
    </xf>
    <xf numFmtId="0" fontId="13" fillId="0" borderId="0" xfId="0" applyFont="1" applyAlignment="1" applyProtection="1">
      <alignment horizontal="center"/>
      <protection hidden="1"/>
    </xf>
    <xf numFmtId="0" fontId="12" fillId="20" borderId="44" xfId="0" applyFont="1" applyFill="1" applyBorder="1" applyAlignment="1" applyProtection="1">
      <alignment horizontal="center" vertical="center"/>
      <protection hidden="1"/>
    </xf>
    <xf numFmtId="0" fontId="12" fillId="20" borderId="47" xfId="0" applyFont="1" applyFill="1" applyBorder="1" applyAlignment="1" applyProtection="1">
      <alignment horizontal="center" vertical="center"/>
      <protection hidden="1"/>
    </xf>
    <xf numFmtId="0" fontId="13" fillId="4" borderId="72" xfId="0" applyFont="1" applyFill="1" applyBorder="1" applyAlignment="1" applyProtection="1">
      <alignment horizontal="center" vertical="center"/>
      <protection hidden="1"/>
    </xf>
    <xf numFmtId="0" fontId="0" fillId="4" borderId="44" xfId="0" applyFill="1" applyBorder="1" applyAlignment="1" applyProtection="1">
      <alignment horizontal="center" vertical="center"/>
      <protection hidden="1"/>
    </xf>
    <xf numFmtId="0" fontId="0" fillId="4" borderId="47" xfId="0" applyFill="1" applyBorder="1" applyAlignment="1" applyProtection="1">
      <alignment horizontal="center" vertical="center"/>
      <protection hidden="1"/>
    </xf>
    <xf numFmtId="0" fontId="22" fillId="6" borderId="72" xfId="0" applyFont="1" applyFill="1" applyBorder="1" applyAlignment="1" applyProtection="1">
      <alignment horizontal="center" vertical="center" wrapText="1" readingOrder="1"/>
      <protection hidden="1"/>
    </xf>
    <xf numFmtId="165" fontId="0" fillId="18" borderId="43" xfId="0" applyNumberFormat="1" applyFill="1" applyBorder="1" applyAlignment="1" applyProtection="1">
      <alignment horizontal="center" vertical="center"/>
      <protection hidden="1"/>
    </xf>
    <xf numFmtId="0" fontId="56" fillId="23" borderId="43" xfId="6" applyFont="1" applyBorder="1" applyAlignment="1" applyProtection="1">
      <alignment horizontal="center" vertical="center"/>
      <protection hidden="1"/>
    </xf>
    <xf numFmtId="0" fontId="22" fillId="5" borderId="72" xfId="0" applyFont="1" applyFill="1" applyBorder="1" applyAlignment="1" applyProtection="1">
      <alignment horizontal="center" vertical="center" wrapText="1" readingOrder="1"/>
      <protection hidden="1"/>
    </xf>
    <xf numFmtId="0" fontId="22" fillId="5" borderId="44" xfId="0" applyFont="1" applyFill="1" applyBorder="1" applyAlignment="1" applyProtection="1">
      <alignment horizontal="center" vertical="center" wrapText="1" readingOrder="1"/>
      <protection hidden="1"/>
    </xf>
    <xf numFmtId="0" fontId="22" fillId="5" borderId="47" xfId="0" applyFont="1" applyFill="1" applyBorder="1" applyAlignment="1" applyProtection="1">
      <alignment horizontal="center" vertical="center" wrapText="1" readingOrder="1"/>
      <protection hidden="1"/>
    </xf>
    <xf numFmtId="0" fontId="22" fillId="5" borderId="6" xfId="0" applyFont="1" applyFill="1" applyBorder="1" applyAlignment="1" applyProtection="1">
      <alignment horizontal="center" vertical="center" wrapText="1" readingOrder="1"/>
      <protection hidden="1"/>
    </xf>
    <xf numFmtId="0" fontId="22" fillId="5" borderId="0" xfId="0" applyFont="1" applyFill="1" applyBorder="1" applyAlignment="1" applyProtection="1">
      <alignment horizontal="center" vertical="center" wrapText="1" readingOrder="1"/>
      <protection hidden="1"/>
    </xf>
    <xf numFmtId="0" fontId="22" fillId="5" borderId="7" xfId="0" applyFont="1" applyFill="1" applyBorder="1" applyAlignment="1" applyProtection="1">
      <alignment horizontal="center" vertical="center" wrapText="1" readingOrder="1"/>
      <protection hidden="1"/>
    </xf>
    <xf numFmtId="0" fontId="12" fillId="5" borderId="6" xfId="0" applyFont="1" applyFill="1" applyBorder="1" applyAlignment="1" applyProtection="1">
      <alignment horizontal="center" vertical="center" wrapText="1" readingOrder="1"/>
      <protection hidden="1"/>
    </xf>
    <xf numFmtId="0" fontId="12" fillId="20" borderId="0" xfId="0" applyFont="1" applyFill="1" applyBorder="1" applyAlignment="1" applyProtection="1">
      <alignment horizontal="center"/>
      <protection hidden="1"/>
    </xf>
    <xf numFmtId="0" fontId="12" fillId="20" borderId="7" xfId="0" applyFont="1" applyFill="1" applyBorder="1" applyAlignment="1" applyProtection="1">
      <alignment horizontal="center"/>
      <protection hidden="1"/>
    </xf>
    <xf numFmtId="0" fontId="37" fillId="23" borderId="4" xfId="6" applyFont="1" applyBorder="1" applyAlignment="1" applyProtection="1">
      <alignment horizontal="center" vertical="center" wrapText="1"/>
      <protection hidden="1"/>
    </xf>
    <xf numFmtId="0" fontId="37" fillId="23" borderId="5" xfId="6" applyFont="1" applyBorder="1" applyAlignment="1" applyProtection="1">
      <alignment horizontal="center" vertical="center" wrapText="1"/>
      <protection hidden="1"/>
    </xf>
    <xf numFmtId="0" fontId="37" fillId="23" borderId="43" xfId="6" applyFont="1" applyBorder="1" applyAlignment="1" applyProtection="1">
      <alignment horizontal="center" vertical="center" wrapText="1"/>
      <protection hidden="1"/>
    </xf>
    <xf numFmtId="0" fontId="37" fillId="23" borderId="6" xfId="6" applyFont="1" applyBorder="1" applyAlignment="1" applyProtection="1">
      <alignment horizontal="center" vertical="center" wrapText="1"/>
      <protection hidden="1"/>
    </xf>
    <xf numFmtId="0" fontId="37" fillId="23" borderId="0" xfId="6" applyFont="1" applyBorder="1" applyAlignment="1" applyProtection="1">
      <alignment horizontal="center" vertical="center" wrapText="1"/>
      <protection hidden="1"/>
    </xf>
    <xf numFmtId="0" fontId="37" fillId="23" borderId="7" xfId="6" applyFont="1" applyBorder="1" applyAlignment="1" applyProtection="1">
      <alignment horizontal="center" vertical="center" wrapText="1"/>
      <protection hidden="1"/>
    </xf>
    <xf numFmtId="0" fontId="37" fillId="23" borderId="40" xfId="6" applyFont="1" applyBorder="1" applyAlignment="1" applyProtection="1">
      <alignment horizontal="center" vertical="center" wrapText="1"/>
      <protection hidden="1"/>
    </xf>
    <xf numFmtId="0" fontId="37" fillId="23" borderId="41" xfId="6" applyFont="1" applyBorder="1" applyAlignment="1" applyProtection="1">
      <alignment horizontal="center" vertical="center" wrapText="1"/>
      <protection hidden="1"/>
    </xf>
    <xf numFmtId="0" fontId="37" fillId="23" borderId="42" xfId="6" applyFont="1" applyBorder="1" applyAlignment="1" applyProtection="1">
      <alignment horizontal="center" vertical="center" wrapText="1"/>
      <protection hidden="1"/>
    </xf>
    <xf numFmtId="0" fontId="56" fillId="23" borderId="72" xfId="6" applyFont="1" applyBorder="1" applyAlignment="1" applyProtection="1">
      <alignment horizontal="left" vertical="center" wrapText="1"/>
      <protection hidden="1"/>
    </xf>
    <xf numFmtId="0" fontId="56" fillId="23" borderId="47" xfId="6" applyFont="1" applyBorder="1" applyAlignment="1" applyProtection="1">
      <alignment horizontal="left" vertical="center" wrapText="1"/>
      <protection hidden="1"/>
    </xf>
    <xf numFmtId="0" fontId="8" fillId="29" borderId="0" xfId="12" applyBorder="1" applyAlignment="1" applyProtection="1">
      <alignment horizontal="center" vertical="center" wrapText="1"/>
      <protection locked="0"/>
    </xf>
    <xf numFmtId="0" fontId="8" fillId="29" borderId="18" xfId="12" applyBorder="1" applyAlignment="1" applyProtection="1">
      <alignment horizontal="center" vertical="center" wrapText="1"/>
      <protection locked="0"/>
    </xf>
    <xf numFmtId="164" fontId="8" fillId="29" borderId="0" xfId="12" applyNumberFormat="1" applyBorder="1" applyAlignment="1" applyProtection="1">
      <alignment horizontal="center" vertical="center" wrapText="1"/>
      <protection locked="0"/>
    </xf>
    <xf numFmtId="0" fontId="20" fillId="3" borderId="79" xfId="0" applyFont="1" applyFill="1" applyBorder="1" applyAlignment="1" applyProtection="1">
      <alignment horizontal="center" vertical="center" wrapText="1" readingOrder="1"/>
      <protection hidden="1"/>
    </xf>
    <xf numFmtId="0" fontId="20" fillId="3" borderId="83" xfId="0" applyFont="1" applyFill="1" applyBorder="1" applyAlignment="1" applyProtection="1">
      <alignment horizontal="center" vertical="center" wrapText="1" readingOrder="1"/>
      <protection hidden="1"/>
    </xf>
    <xf numFmtId="2" fontId="77" fillId="16" borderId="119" xfId="3" applyNumberFormat="1" applyFont="1" applyBorder="1" applyAlignment="1" applyProtection="1">
      <alignment horizontal="center" vertical="center" wrapText="1"/>
      <protection hidden="1"/>
    </xf>
    <xf numFmtId="2" fontId="77" fillId="16" borderId="120" xfId="3" applyNumberFormat="1" applyFont="1" applyBorder="1" applyAlignment="1" applyProtection="1">
      <alignment horizontal="center" vertical="center" wrapText="1"/>
      <protection hidden="1"/>
    </xf>
    <xf numFmtId="2" fontId="22" fillId="6" borderId="72" xfId="0" applyNumberFormat="1" applyFont="1" applyFill="1" applyBorder="1" applyAlignment="1" applyProtection="1">
      <alignment horizontal="center" vertical="center" wrapText="1" readingOrder="1"/>
      <protection locked="0"/>
    </xf>
    <xf numFmtId="2" fontId="22" fillId="6" borderId="47" xfId="0" applyNumberFormat="1" applyFont="1" applyFill="1" applyBorder="1" applyAlignment="1" applyProtection="1">
      <alignment horizontal="center" vertical="center" wrapText="1" readingOrder="1"/>
      <protection locked="0"/>
    </xf>
    <xf numFmtId="2" fontId="22" fillId="5" borderId="72" xfId="0" applyNumberFormat="1" applyFont="1" applyFill="1" applyBorder="1" applyAlignment="1" applyProtection="1">
      <alignment horizontal="center" vertical="center" wrapText="1" readingOrder="1"/>
      <protection locked="0"/>
    </xf>
    <xf numFmtId="2" fontId="22" fillId="5" borderId="47" xfId="0" applyNumberFormat="1" applyFont="1" applyFill="1" applyBorder="1" applyAlignment="1" applyProtection="1">
      <alignment horizontal="center" vertical="center" wrapText="1" readingOrder="1"/>
      <protection locked="0"/>
    </xf>
    <xf numFmtId="0" fontId="38" fillId="17" borderId="72" xfId="0" applyFont="1" applyFill="1" applyBorder="1" applyAlignment="1" applyProtection="1">
      <alignment horizontal="center" vertical="center"/>
      <protection hidden="1"/>
    </xf>
    <xf numFmtId="0" fontId="38" fillId="17" borderId="47" xfId="0" applyFont="1" applyFill="1" applyBorder="1" applyAlignment="1" applyProtection="1">
      <alignment horizontal="center" vertical="center"/>
      <protection hidden="1"/>
    </xf>
    <xf numFmtId="0" fontId="14" fillId="0" borderId="0" xfId="0" applyFont="1" applyAlignment="1" applyProtection="1">
      <alignment horizontal="center"/>
      <protection hidden="1"/>
    </xf>
    <xf numFmtId="0" fontId="21" fillId="3" borderId="72" xfId="0" applyFont="1" applyFill="1" applyBorder="1" applyAlignment="1" applyProtection="1">
      <alignment horizontal="center" vertical="center" wrapText="1" readingOrder="1"/>
      <protection locked="0"/>
    </xf>
    <xf numFmtId="0" fontId="21" fillId="3" borderId="47" xfId="0" applyFont="1" applyFill="1" applyBorder="1" applyAlignment="1" applyProtection="1">
      <alignment horizontal="center" vertical="center" wrapText="1" readingOrder="1"/>
      <protection locked="0"/>
    </xf>
    <xf numFmtId="14" fontId="21" fillId="3" borderId="6" xfId="0" applyNumberFormat="1" applyFont="1" applyFill="1" applyBorder="1" applyAlignment="1" applyProtection="1">
      <alignment horizontal="center" vertical="center" wrapText="1" readingOrder="1"/>
      <protection locked="0"/>
    </xf>
    <xf numFmtId="14" fontId="21" fillId="3" borderId="7" xfId="0" applyNumberFormat="1" applyFont="1" applyFill="1" applyBorder="1" applyAlignment="1" applyProtection="1">
      <alignment horizontal="center" vertical="center" wrapText="1" readingOrder="1"/>
      <protection locked="0"/>
    </xf>
    <xf numFmtId="0" fontId="22" fillId="5" borderId="72" xfId="0" applyFont="1" applyFill="1" applyBorder="1" applyAlignment="1" applyProtection="1">
      <alignment horizontal="center" vertical="center" wrapText="1" readingOrder="1"/>
      <protection locked="0"/>
    </xf>
    <xf numFmtId="0" fontId="22" fillId="5" borderId="47" xfId="0" applyFont="1" applyFill="1" applyBorder="1" applyAlignment="1" applyProtection="1">
      <alignment horizontal="center" vertical="center" wrapText="1" readingOrder="1"/>
      <protection locked="0"/>
    </xf>
    <xf numFmtId="0" fontId="22" fillId="6" borderId="72" xfId="0" applyFont="1" applyFill="1" applyBorder="1" applyAlignment="1" applyProtection="1">
      <alignment horizontal="center" vertical="center" wrapText="1" readingOrder="1"/>
      <protection locked="0"/>
    </xf>
    <xf numFmtId="0" fontId="22" fillId="6" borderId="47" xfId="0" applyFont="1" applyFill="1" applyBorder="1" applyAlignment="1" applyProtection="1">
      <alignment horizontal="center" vertical="center" wrapText="1" readingOrder="1"/>
      <protection locked="0"/>
    </xf>
    <xf numFmtId="0" fontId="38" fillId="17" borderId="22" xfId="0" applyFont="1" applyFill="1" applyBorder="1" applyAlignment="1" applyProtection="1">
      <alignment horizontal="center" vertical="center"/>
      <protection hidden="1"/>
    </xf>
    <xf numFmtId="0" fontId="38" fillId="17" borderId="23" xfId="0" applyFont="1" applyFill="1" applyBorder="1" applyAlignment="1" applyProtection="1">
      <alignment horizontal="center" vertical="center"/>
      <protection hidden="1"/>
    </xf>
    <xf numFmtId="0" fontId="38" fillId="17" borderId="35" xfId="0" applyFont="1" applyFill="1" applyBorder="1" applyAlignment="1" applyProtection="1">
      <alignment horizontal="center" vertical="center"/>
      <protection hidden="1"/>
    </xf>
    <xf numFmtId="0" fontId="56" fillId="23" borderId="31" xfId="6" applyFont="1" applyBorder="1" applyAlignment="1" applyProtection="1">
      <alignment horizontal="center" vertical="center"/>
      <protection hidden="1"/>
    </xf>
    <xf numFmtId="0" fontId="56" fillId="23" borderId="33" xfId="6" applyFont="1" applyBorder="1" applyAlignment="1" applyProtection="1">
      <alignment horizontal="center" vertical="center"/>
      <protection hidden="1"/>
    </xf>
    <xf numFmtId="0" fontId="56" fillId="23" borderId="38" xfId="6" applyFont="1" applyBorder="1" applyAlignment="1" applyProtection="1">
      <alignment horizontal="center" vertical="center"/>
      <protection hidden="1"/>
    </xf>
    <xf numFmtId="0" fontId="13" fillId="20" borderId="4" xfId="0" applyFont="1" applyFill="1" applyBorder="1" applyAlignment="1" applyProtection="1">
      <alignment horizontal="center" vertical="center" wrapText="1"/>
      <protection hidden="1"/>
    </xf>
    <xf numFmtId="0" fontId="0" fillId="20" borderId="5" xfId="0"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6" xfId="0" applyFill="1" applyBorder="1" applyAlignment="1" applyProtection="1">
      <alignment horizontal="center" vertical="center" wrapText="1"/>
      <protection hidden="1"/>
    </xf>
    <xf numFmtId="0" fontId="0" fillId="20" borderId="0" xfId="0" applyFill="1" applyBorder="1" applyAlignment="1" applyProtection="1">
      <alignment horizontal="center" vertical="center" wrapText="1"/>
      <protection hidden="1"/>
    </xf>
    <xf numFmtId="0" fontId="0" fillId="20" borderId="7" xfId="0" applyFill="1" applyBorder="1" applyAlignment="1" applyProtection="1">
      <alignment horizontal="center" vertical="center" wrapText="1"/>
      <protection hidden="1"/>
    </xf>
    <xf numFmtId="0" fontId="57" fillId="3" borderId="91" xfId="0" applyFont="1" applyFill="1" applyBorder="1" applyAlignment="1" applyProtection="1">
      <alignment horizontal="center" vertical="center" wrapText="1" readingOrder="1"/>
      <protection hidden="1"/>
    </xf>
    <xf numFmtId="0" fontId="57" fillId="3" borderId="83" xfId="0" applyFont="1" applyFill="1" applyBorder="1" applyAlignment="1" applyProtection="1">
      <alignment horizontal="center" vertical="center" wrapText="1" readingOrder="1"/>
      <protection hidden="1"/>
    </xf>
    <xf numFmtId="0" fontId="22" fillId="5" borderId="6" xfId="0" applyFont="1" applyFill="1" applyBorder="1" applyAlignment="1" applyProtection="1">
      <alignment horizontal="left" vertical="center" wrapText="1" readingOrder="1"/>
      <protection hidden="1"/>
    </xf>
    <xf numFmtId="0" fontId="22" fillId="5" borderId="0" xfId="0" applyFont="1" applyFill="1" applyBorder="1" applyAlignment="1" applyProtection="1">
      <alignment horizontal="left" vertical="center" wrapText="1" readingOrder="1"/>
      <protection hidden="1"/>
    </xf>
    <xf numFmtId="0" fontId="22" fillId="5" borderId="7" xfId="0" applyFont="1" applyFill="1" applyBorder="1" applyAlignment="1" applyProtection="1">
      <alignment horizontal="left" vertical="center" wrapText="1" readingOrder="1"/>
      <protection hidden="1"/>
    </xf>
    <xf numFmtId="2" fontId="61" fillId="28" borderId="44" xfId="11" applyNumberFormat="1" applyFont="1" applyBorder="1" applyAlignment="1" applyProtection="1">
      <alignment horizontal="center" vertical="center"/>
      <protection hidden="1"/>
    </xf>
    <xf numFmtId="2" fontId="61" fillId="28" borderId="47" xfId="11" applyNumberFormat="1" applyFont="1" applyBorder="1" applyAlignment="1" applyProtection="1">
      <alignment horizontal="center" vertical="center"/>
      <protection hidden="1"/>
    </xf>
    <xf numFmtId="0" fontId="56" fillId="27" borderId="79" xfId="10" applyFont="1" applyBorder="1" applyAlignment="1" applyProtection="1">
      <alignment horizontal="center" vertical="center" wrapText="1"/>
      <protection hidden="1"/>
    </xf>
    <xf numFmtId="0" fontId="56" fillId="27" borderId="9" xfId="10" applyFont="1" applyBorder="1" applyAlignment="1" applyProtection="1">
      <alignment horizontal="center" vertical="center" wrapText="1"/>
      <protection hidden="1"/>
    </xf>
    <xf numFmtId="0" fontId="56" fillId="27" borderId="83" xfId="10" applyFont="1" applyBorder="1" applyAlignment="1" applyProtection="1">
      <alignment horizontal="center" vertical="center" wrapText="1"/>
      <protection hidden="1"/>
    </xf>
    <xf numFmtId="0" fontId="4" fillId="28" borderId="4" xfId="11" applyFont="1" applyBorder="1" applyAlignment="1" applyProtection="1">
      <alignment horizontal="center" vertical="center" wrapText="1"/>
      <protection hidden="1"/>
    </xf>
    <xf numFmtId="0" fontId="8" fillId="28" borderId="5" xfId="11" applyBorder="1" applyAlignment="1" applyProtection="1">
      <alignment horizontal="center" vertical="center" wrapText="1"/>
      <protection hidden="1"/>
    </xf>
    <xf numFmtId="0" fontId="8" fillId="28" borderId="43" xfId="11" applyBorder="1" applyAlignment="1" applyProtection="1">
      <alignment horizontal="center" vertical="center" wrapText="1"/>
      <protection hidden="1"/>
    </xf>
    <xf numFmtId="0" fontId="8" fillId="28" borderId="6" xfId="11" applyBorder="1" applyAlignment="1" applyProtection="1">
      <alignment horizontal="center" vertical="center" wrapText="1"/>
      <protection hidden="1"/>
    </xf>
    <xf numFmtId="0" fontId="8" fillId="28" borderId="0" xfId="11" applyBorder="1" applyAlignment="1" applyProtection="1">
      <alignment horizontal="center" vertical="center" wrapText="1"/>
      <protection hidden="1"/>
    </xf>
    <xf numFmtId="0" fontId="8" fillId="28" borderId="7" xfId="11" applyBorder="1" applyAlignment="1" applyProtection="1">
      <alignment horizontal="center" vertical="center" wrapText="1"/>
      <protection hidden="1"/>
    </xf>
    <xf numFmtId="0" fontId="14" fillId="2" borderId="24" xfId="0" applyFont="1" applyFill="1" applyBorder="1" applyAlignment="1" applyProtection="1">
      <alignment horizontal="left"/>
      <protection hidden="1"/>
    </xf>
    <xf numFmtId="0" fontId="14" fillId="2" borderId="17" xfId="0" applyFont="1" applyFill="1" applyBorder="1" applyAlignment="1" applyProtection="1">
      <alignment horizontal="left"/>
      <protection hidden="1"/>
    </xf>
    <xf numFmtId="165" fontId="0" fillId="0" borderId="13" xfId="0" applyNumberFormat="1" applyBorder="1" applyAlignment="1" applyProtection="1">
      <alignment horizontal="center" vertical="center"/>
      <protection hidden="1"/>
    </xf>
    <xf numFmtId="165" fontId="0" fillId="0" borderId="15" xfId="0" applyNumberFormat="1" applyBorder="1" applyAlignment="1" applyProtection="1">
      <alignment horizontal="center" vertical="center"/>
      <protection hidden="1"/>
    </xf>
    <xf numFmtId="165" fontId="0" fillId="0" borderId="14" xfId="0" applyNumberFormat="1" applyBorder="1" applyAlignment="1" applyProtection="1">
      <alignment horizontal="center" vertical="center"/>
      <protection hidden="1"/>
    </xf>
    <xf numFmtId="0" fontId="14" fillId="2" borderId="0" xfId="0" applyFont="1" applyFill="1" applyBorder="1" applyAlignment="1" applyProtection="1">
      <alignment horizontal="left" vertical="top" wrapText="1"/>
      <protection hidden="1"/>
    </xf>
    <xf numFmtId="0" fontId="14" fillId="2" borderId="18" xfId="0" applyFont="1" applyFill="1" applyBorder="1" applyAlignment="1" applyProtection="1">
      <alignment horizontal="left" vertical="top" wrapText="1"/>
      <protection hidden="1"/>
    </xf>
    <xf numFmtId="2" fontId="61" fillId="28" borderId="4" xfId="11" applyNumberFormat="1" applyFont="1" applyBorder="1" applyAlignment="1" applyProtection="1">
      <alignment horizontal="center" vertical="center"/>
      <protection hidden="1"/>
    </xf>
    <xf numFmtId="2" fontId="61" fillId="28" borderId="5" xfId="11" applyNumberFormat="1" applyFont="1" applyBorder="1" applyAlignment="1" applyProtection="1">
      <alignment horizontal="center" vertical="center"/>
      <protection hidden="1"/>
    </xf>
    <xf numFmtId="2" fontId="61" fillId="28" borderId="43" xfId="11" applyNumberFormat="1" applyFont="1" applyBorder="1" applyAlignment="1" applyProtection="1">
      <alignment horizontal="center" vertical="center"/>
      <protection hidden="1"/>
    </xf>
    <xf numFmtId="2" fontId="61" fillId="28" borderId="40" xfId="11" applyNumberFormat="1" applyFont="1" applyBorder="1" applyAlignment="1" applyProtection="1">
      <alignment horizontal="center" vertical="center"/>
      <protection hidden="1"/>
    </xf>
    <xf numFmtId="2" fontId="61" fillId="28" borderId="42" xfId="11" applyNumberFormat="1" applyFont="1" applyBorder="1" applyAlignment="1" applyProtection="1">
      <alignment horizontal="center" vertical="center"/>
      <protection hidden="1"/>
    </xf>
    <xf numFmtId="165" fontId="0" fillId="18" borderId="18" xfId="0" applyNumberFormat="1" applyFill="1" applyBorder="1" applyAlignment="1" applyProtection="1">
      <alignment horizontal="center" vertical="center"/>
      <protection hidden="1"/>
    </xf>
    <xf numFmtId="165" fontId="0" fillId="18" borderId="77" xfId="0" applyNumberFormat="1" applyFill="1" applyBorder="1" applyAlignment="1" applyProtection="1">
      <alignment horizontal="center" vertical="center"/>
      <protection hidden="1"/>
    </xf>
    <xf numFmtId="165" fontId="0" fillId="18" borderId="79" xfId="0" applyNumberFormat="1" applyFill="1" applyBorder="1" applyAlignment="1" applyProtection="1">
      <alignment horizontal="center" vertical="center"/>
      <protection hidden="1"/>
    </xf>
    <xf numFmtId="165" fontId="0" fillId="18" borderId="9" xfId="0" applyNumberFormat="1" applyFill="1" applyBorder="1" applyAlignment="1" applyProtection="1">
      <alignment horizontal="center" vertical="center"/>
      <protection hidden="1"/>
    </xf>
    <xf numFmtId="165" fontId="0" fillId="18" borderId="83" xfId="0" applyNumberFormat="1" applyFill="1" applyBorder="1" applyAlignment="1" applyProtection="1">
      <alignment horizontal="center" vertical="center"/>
      <protection hidden="1"/>
    </xf>
    <xf numFmtId="165" fontId="0" fillId="18" borderId="0" xfId="0" applyNumberFormat="1" applyFill="1" applyBorder="1" applyAlignment="1" applyProtection="1">
      <alignment horizontal="center" vertical="center"/>
      <protection hidden="1"/>
    </xf>
    <xf numFmtId="0" fontId="56" fillId="27" borderId="98" xfId="10" applyFont="1" applyBorder="1" applyAlignment="1" applyProtection="1">
      <alignment horizontal="center" vertical="center" wrapText="1"/>
      <protection hidden="1"/>
    </xf>
    <xf numFmtId="0" fontId="56" fillId="27" borderId="46" xfId="10" applyFont="1" applyBorder="1" applyAlignment="1" applyProtection="1">
      <alignment horizontal="center" vertical="center" wrapText="1"/>
      <protection hidden="1"/>
    </xf>
    <xf numFmtId="0" fontId="13" fillId="0" borderId="0" xfId="0" applyFont="1" applyFill="1" applyBorder="1" applyAlignment="1" applyProtection="1">
      <alignment horizontal="left" vertical="center" wrapText="1"/>
      <protection hidden="1"/>
    </xf>
    <xf numFmtId="0" fontId="11" fillId="10" borderId="0" xfId="0" applyFont="1" applyFill="1" applyBorder="1" applyAlignment="1" applyProtection="1">
      <alignment horizontal="center" vertical="center"/>
      <protection hidden="1"/>
    </xf>
    <xf numFmtId="0" fontId="11" fillId="10" borderId="23" xfId="0" applyFont="1" applyFill="1" applyBorder="1" applyAlignment="1" applyProtection="1">
      <alignment horizontal="center" vertical="center"/>
      <protection hidden="1"/>
    </xf>
    <xf numFmtId="0" fontId="14" fillId="2" borderId="23" xfId="0" applyFont="1" applyFill="1" applyBorder="1" applyAlignment="1" applyProtection="1">
      <alignment horizontal="left" vertical="top"/>
      <protection hidden="1"/>
    </xf>
    <xf numFmtId="0" fontId="14" fillId="2" borderId="19" xfId="0" applyFont="1" applyFill="1" applyBorder="1" applyAlignment="1" applyProtection="1">
      <alignment horizontal="left" vertical="top"/>
      <protection hidden="1"/>
    </xf>
    <xf numFmtId="2" fontId="61" fillId="29" borderId="72" xfId="12" applyNumberFormat="1" applyFont="1" applyBorder="1" applyAlignment="1" applyProtection="1">
      <alignment horizontal="center" vertical="center"/>
      <protection hidden="1"/>
    </xf>
    <xf numFmtId="2" fontId="61" fillId="29" borderId="44" xfId="12" applyNumberFormat="1" applyFont="1" applyBorder="1" applyAlignment="1" applyProtection="1">
      <alignment horizontal="center" vertical="center"/>
      <protection hidden="1"/>
    </xf>
    <xf numFmtId="2" fontId="61" fillId="29" borderId="47" xfId="12" applyNumberFormat="1" applyFont="1" applyBorder="1" applyAlignment="1" applyProtection="1">
      <alignment horizontal="center" vertical="center"/>
      <protection hidden="1"/>
    </xf>
    <xf numFmtId="0" fontId="56" fillId="24" borderId="79" xfId="7" applyFont="1" applyBorder="1" applyAlignment="1" applyProtection="1">
      <alignment horizontal="center" vertical="center" wrapText="1"/>
      <protection hidden="1"/>
    </xf>
    <xf numFmtId="0" fontId="56" fillId="24" borderId="9" xfId="7" applyFont="1" applyBorder="1" applyAlignment="1" applyProtection="1">
      <alignment horizontal="center" vertical="center" wrapText="1"/>
      <protection hidden="1"/>
    </xf>
    <xf numFmtId="0" fontId="56" fillId="24" borderId="83" xfId="7" applyFont="1" applyBorder="1" applyAlignment="1" applyProtection="1">
      <alignment horizontal="center" vertical="center" wrapText="1"/>
      <protection hidden="1"/>
    </xf>
    <xf numFmtId="0" fontId="4" fillId="29" borderId="0" xfId="12" applyFont="1" applyBorder="1" applyAlignment="1" applyProtection="1">
      <alignment horizontal="center" vertical="center" wrapText="1"/>
      <protection hidden="1"/>
    </xf>
    <xf numFmtId="0" fontId="8" fillId="29" borderId="0" xfId="12" applyBorder="1" applyAlignment="1" applyProtection="1">
      <alignment horizontal="center" vertical="center" wrapText="1"/>
      <protection hidden="1"/>
    </xf>
    <xf numFmtId="0" fontId="8" fillId="29" borderId="18" xfId="12" applyBorder="1" applyAlignment="1" applyProtection="1">
      <alignment horizontal="center" vertical="center" wrapText="1"/>
      <protection hidden="1"/>
    </xf>
    <xf numFmtId="2" fontId="61" fillId="29" borderId="5" xfId="12" applyNumberFormat="1" applyFont="1" applyBorder="1" applyAlignment="1" applyProtection="1">
      <alignment horizontal="center" vertical="center"/>
      <protection hidden="1"/>
    </xf>
    <xf numFmtId="2" fontId="61" fillId="29" borderId="43" xfId="12" applyNumberFormat="1" applyFont="1" applyBorder="1" applyAlignment="1" applyProtection="1">
      <alignment horizontal="center" vertical="center"/>
      <protection hidden="1"/>
    </xf>
    <xf numFmtId="2" fontId="61" fillId="29" borderId="41" xfId="12" applyNumberFormat="1" applyFont="1" applyBorder="1" applyAlignment="1" applyProtection="1">
      <alignment horizontal="center" vertical="center"/>
      <protection hidden="1"/>
    </xf>
    <xf numFmtId="2" fontId="61" fillId="29" borderId="42" xfId="12" applyNumberFormat="1" applyFont="1" applyBorder="1" applyAlignment="1" applyProtection="1">
      <alignment horizontal="center" vertical="center"/>
      <protection hidden="1"/>
    </xf>
    <xf numFmtId="0" fontId="70" fillId="24" borderId="4" xfId="7" applyFont="1" applyBorder="1" applyAlignment="1" applyProtection="1">
      <alignment horizontal="center" vertical="center"/>
      <protection hidden="1"/>
    </xf>
    <xf numFmtId="0" fontId="70" fillId="24" borderId="5" xfId="7" applyFont="1" applyBorder="1" applyAlignment="1" applyProtection="1">
      <alignment horizontal="center" vertical="center"/>
      <protection hidden="1"/>
    </xf>
    <xf numFmtId="0" fontId="70" fillId="24" borderId="43" xfId="7" applyFont="1" applyBorder="1" applyAlignment="1" applyProtection="1">
      <alignment horizontal="center" vertical="center"/>
      <protection hidden="1"/>
    </xf>
    <xf numFmtId="0" fontId="70" fillId="24" borderId="40" xfId="7" applyFont="1" applyBorder="1" applyAlignment="1" applyProtection="1">
      <alignment horizontal="center" vertical="center"/>
      <protection hidden="1"/>
    </xf>
    <xf numFmtId="0" fontId="70" fillId="24" borderId="41" xfId="7" applyFont="1" applyBorder="1" applyAlignment="1" applyProtection="1">
      <alignment horizontal="center" vertical="center"/>
      <protection hidden="1"/>
    </xf>
    <xf numFmtId="0" fontId="70" fillId="24" borderId="42" xfId="7" applyFont="1" applyBorder="1" applyAlignment="1" applyProtection="1">
      <alignment horizontal="center" vertical="center"/>
      <protection hidden="1"/>
    </xf>
    <xf numFmtId="2" fontId="61" fillId="29" borderId="78" xfId="12" applyNumberFormat="1" applyFont="1" applyBorder="1" applyAlignment="1" applyProtection="1">
      <alignment horizontal="center" vertical="center"/>
      <protection hidden="1"/>
    </xf>
    <xf numFmtId="2" fontId="61" fillId="29" borderId="77" xfId="12" applyNumberFormat="1" applyFont="1" applyBorder="1" applyAlignment="1" applyProtection="1">
      <alignment horizontal="center" vertical="center"/>
      <protection hidden="1"/>
    </xf>
    <xf numFmtId="0" fontId="45" fillId="26" borderId="72" xfId="9" applyFont="1" applyBorder="1" applyAlignment="1" applyProtection="1">
      <alignment horizontal="center" vertical="center"/>
      <protection hidden="1"/>
    </xf>
    <xf numFmtId="0" fontId="45" fillId="26" borderId="44" xfId="9" applyFont="1" applyBorder="1" applyAlignment="1" applyProtection="1">
      <alignment horizontal="center" vertical="center"/>
      <protection hidden="1"/>
    </xf>
    <xf numFmtId="0" fontId="45" fillId="26" borderId="47" xfId="9" applyFont="1" applyBorder="1" applyAlignment="1" applyProtection="1">
      <alignment horizontal="center" vertical="center"/>
      <protection hidden="1"/>
    </xf>
    <xf numFmtId="0" fontId="50" fillId="26" borderId="33" xfId="9" applyFont="1" applyBorder="1" applyAlignment="1" applyProtection="1">
      <alignment horizontal="left" vertical="center" wrapText="1"/>
      <protection hidden="1"/>
    </xf>
    <xf numFmtId="0" fontId="50" fillId="26" borderId="38" xfId="9" applyFont="1" applyBorder="1" applyAlignment="1" applyProtection="1">
      <alignment horizontal="left" vertical="center" wrapText="1"/>
      <protection hidden="1"/>
    </xf>
    <xf numFmtId="2" fontId="61" fillId="21" borderId="0" xfId="4" applyNumberFormat="1" applyFont="1" applyBorder="1" applyAlignment="1" applyProtection="1">
      <alignment horizontal="center" vertical="center"/>
      <protection hidden="1"/>
    </xf>
    <xf numFmtId="2" fontId="61" fillId="21" borderId="41" xfId="4" applyNumberFormat="1" applyFont="1" applyBorder="1" applyAlignment="1" applyProtection="1">
      <alignment horizontal="center" vertical="center"/>
      <protection hidden="1"/>
    </xf>
    <xf numFmtId="2" fontId="61" fillId="21" borderId="44" xfId="4" applyNumberFormat="1" applyFont="1" applyBorder="1" applyAlignment="1" applyProtection="1">
      <alignment horizontal="center" vertical="center" wrapText="1"/>
      <protection hidden="1"/>
    </xf>
    <xf numFmtId="2" fontId="61" fillId="21" borderId="47" xfId="4" applyNumberFormat="1" applyFont="1" applyBorder="1" applyAlignment="1" applyProtection="1">
      <alignment horizontal="center" vertical="center" wrapText="1"/>
      <protection hidden="1"/>
    </xf>
    <xf numFmtId="0" fontId="8" fillId="30" borderId="29" xfId="13" applyBorder="1" applyAlignment="1" applyProtection="1">
      <alignment horizontal="center" vertical="center" wrapText="1"/>
      <protection hidden="1"/>
    </xf>
    <xf numFmtId="0" fontId="8" fillId="30" borderId="26" xfId="13" applyBorder="1" applyAlignment="1" applyProtection="1">
      <alignment horizontal="center" vertical="center" wrapText="1"/>
      <protection hidden="1"/>
    </xf>
    <xf numFmtId="0" fontId="8" fillId="30" borderId="16" xfId="13" applyBorder="1" applyAlignment="1" applyProtection="1">
      <alignment horizontal="center" vertical="center" wrapText="1"/>
      <protection hidden="1"/>
    </xf>
    <xf numFmtId="0" fontId="50" fillId="34" borderId="6" xfId="1" applyFill="1" applyBorder="1" applyAlignment="1" applyProtection="1">
      <alignment horizontal="left" vertical="center" wrapText="1"/>
      <protection hidden="1"/>
    </xf>
    <xf numFmtId="0" fontId="50" fillId="34" borderId="0" xfId="1" applyFill="1" applyBorder="1" applyAlignment="1" applyProtection="1">
      <alignment horizontal="left" vertical="center" wrapText="1"/>
      <protection hidden="1"/>
    </xf>
    <xf numFmtId="0" fontId="50" fillId="34" borderId="7" xfId="1" applyFill="1" applyBorder="1" applyAlignment="1" applyProtection="1">
      <alignment horizontal="left" vertical="center" wrapText="1"/>
      <protection hidden="1"/>
    </xf>
    <xf numFmtId="0" fontId="50" fillId="34" borderId="40" xfId="1" applyFill="1" applyBorder="1" applyAlignment="1" applyProtection="1">
      <alignment horizontal="left" vertical="center" wrapText="1"/>
      <protection hidden="1"/>
    </xf>
    <xf numFmtId="0" fontId="50" fillId="34" borderId="41" xfId="1" applyFill="1" applyBorder="1" applyAlignment="1" applyProtection="1">
      <alignment horizontal="left" vertical="center" wrapText="1"/>
      <protection hidden="1"/>
    </xf>
    <xf numFmtId="0" fontId="50" fillId="34" borderId="42" xfId="1" applyFill="1" applyBorder="1" applyAlignment="1" applyProtection="1">
      <alignment horizontal="left" vertical="center" wrapText="1"/>
      <protection hidden="1"/>
    </xf>
    <xf numFmtId="2" fontId="8" fillId="30" borderId="113" xfId="13" applyNumberFormat="1" applyBorder="1" applyAlignment="1" applyProtection="1">
      <alignment horizontal="center" vertical="center"/>
      <protection hidden="1"/>
    </xf>
    <xf numFmtId="0" fontId="8" fillId="30" borderId="104" xfId="13" applyBorder="1" applyAlignment="1" applyProtection="1">
      <alignment horizontal="center" vertical="center"/>
      <protection hidden="1"/>
    </xf>
    <xf numFmtId="0" fontId="8" fillId="30" borderId="96" xfId="13" applyBorder="1" applyAlignment="1" applyProtection="1">
      <alignment horizontal="center" vertical="center"/>
      <protection hidden="1"/>
    </xf>
    <xf numFmtId="2" fontId="8" fillId="30" borderId="48" xfId="13" applyNumberFormat="1" applyBorder="1" applyAlignment="1" applyProtection="1">
      <alignment horizontal="center" vertical="center"/>
      <protection hidden="1"/>
    </xf>
    <xf numFmtId="2" fontId="8" fillId="30" borderId="45" xfId="13" applyNumberFormat="1" applyBorder="1" applyAlignment="1" applyProtection="1">
      <alignment horizontal="center" vertical="center"/>
      <protection hidden="1"/>
    </xf>
    <xf numFmtId="2" fontId="8" fillId="30" borderId="46" xfId="13" applyNumberFormat="1" applyBorder="1" applyAlignment="1" applyProtection="1">
      <alignment horizontal="center" vertical="center"/>
      <protection hidden="1"/>
    </xf>
    <xf numFmtId="0" fontId="9" fillId="21" borderId="114" xfId="4" applyBorder="1" applyAlignment="1" applyProtection="1">
      <alignment horizontal="center" vertical="center"/>
      <protection hidden="1"/>
    </xf>
    <xf numFmtId="0" fontId="9" fillId="21" borderId="112" xfId="4" applyBorder="1" applyAlignment="1" applyProtection="1">
      <alignment horizontal="center" vertical="center"/>
      <protection hidden="1"/>
    </xf>
    <xf numFmtId="0" fontId="13" fillId="11" borderId="72" xfId="0" applyFont="1" applyFill="1" applyBorder="1" applyAlignment="1" applyProtection="1">
      <alignment horizontal="center"/>
      <protection hidden="1"/>
    </xf>
    <xf numFmtId="0" fontId="0" fillId="11" borderId="47" xfId="0" applyFill="1" applyBorder="1" applyAlignment="1" applyProtection="1">
      <alignment horizontal="center"/>
      <protection hidden="1"/>
    </xf>
    <xf numFmtId="0" fontId="13" fillId="11" borderId="44" xfId="0" applyFont="1" applyFill="1" applyBorder="1" applyAlignment="1" applyProtection="1">
      <alignment horizontal="center"/>
      <protection hidden="1"/>
    </xf>
    <xf numFmtId="2" fontId="9" fillId="21" borderId="95" xfId="4" applyNumberFormat="1" applyBorder="1" applyAlignment="1" applyProtection="1">
      <alignment horizontal="center" vertical="center"/>
      <protection hidden="1"/>
    </xf>
    <xf numFmtId="0" fontId="9" fillId="21" borderId="96" xfId="4" applyBorder="1" applyAlignment="1" applyProtection="1">
      <alignment horizontal="center" vertical="center"/>
      <protection hidden="1"/>
    </xf>
    <xf numFmtId="2" fontId="9" fillId="21" borderId="113" xfId="4" applyNumberFormat="1" applyBorder="1" applyAlignment="1" applyProtection="1">
      <alignment horizontal="center" vertical="center"/>
      <protection hidden="1"/>
    </xf>
    <xf numFmtId="2" fontId="9" fillId="21" borderId="39" xfId="4" applyNumberFormat="1" applyBorder="1" applyAlignment="1" applyProtection="1">
      <alignment horizontal="center" vertical="center"/>
      <protection hidden="1"/>
    </xf>
    <xf numFmtId="0" fontId="9" fillId="21" borderId="25" xfId="4" applyBorder="1" applyAlignment="1" applyProtection="1">
      <alignment horizontal="center" vertical="center"/>
      <protection hidden="1"/>
    </xf>
    <xf numFmtId="0" fontId="50" fillId="34" borderId="4" xfId="1" applyFill="1" applyBorder="1" applyAlignment="1" applyProtection="1">
      <alignment horizontal="left" vertical="center" wrapText="1"/>
      <protection hidden="1"/>
    </xf>
    <xf numFmtId="0" fontId="50" fillId="34" borderId="5" xfId="1" applyFill="1" applyBorder="1" applyAlignment="1" applyProtection="1">
      <alignment horizontal="left" vertical="center" wrapText="1"/>
      <protection hidden="1"/>
    </xf>
    <xf numFmtId="0" fontId="50" fillId="34" borderId="43" xfId="1" applyFill="1" applyBorder="1" applyAlignment="1" applyProtection="1">
      <alignment horizontal="left" vertical="center" wrapText="1"/>
      <protection hidden="1"/>
    </xf>
    <xf numFmtId="0" fontId="41" fillId="34" borderId="31" xfId="0" applyFont="1" applyFill="1" applyBorder="1" applyAlignment="1" applyProtection="1">
      <alignment horizontal="center" vertical="center" wrapText="1"/>
      <protection hidden="1"/>
    </xf>
    <xf numFmtId="0" fontId="41" fillId="34" borderId="33" xfId="0" applyFont="1" applyFill="1" applyBorder="1" applyAlignment="1" applyProtection="1">
      <alignment horizontal="center" vertical="center" wrapText="1"/>
      <protection hidden="1"/>
    </xf>
    <xf numFmtId="0" fontId="41" fillId="34" borderId="32" xfId="0" applyFont="1" applyFill="1" applyBorder="1" applyAlignment="1" applyProtection="1">
      <alignment horizontal="center" vertical="center" wrapText="1"/>
      <protection hidden="1"/>
    </xf>
    <xf numFmtId="0" fontId="38" fillId="7" borderId="57" xfId="0" applyFont="1" applyFill="1" applyBorder="1" applyAlignment="1" applyProtection="1">
      <alignment horizontal="center" vertical="center" wrapText="1"/>
      <protection hidden="1"/>
    </xf>
    <xf numFmtId="0" fontId="38" fillId="7" borderId="53" xfId="0" applyFont="1" applyFill="1" applyBorder="1" applyAlignment="1" applyProtection="1">
      <alignment horizontal="center" vertical="center" wrapText="1"/>
      <protection hidden="1"/>
    </xf>
    <xf numFmtId="0" fontId="38" fillId="7" borderId="52" xfId="0" applyFont="1" applyFill="1" applyBorder="1" applyAlignment="1" applyProtection="1">
      <alignment horizontal="center" vertical="center" wrapText="1"/>
      <protection hidden="1"/>
    </xf>
    <xf numFmtId="0" fontId="38" fillId="7" borderId="3" xfId="0" applyFont="1" applyFill="1" applyBorder="1" applyAlignment="1" applyProtection="1">
      <alignment horizontal="center" vertical="center" wrapText="1"/>
      <protection hidden="1"/>
    </xf>
    <xf numFmtId="0" fontId="38" fillId="7" borderId="2" xfId="0" applyFont="1" applyFill="1" applyBorder="1" applyAlignment="1" applyProtection="1">
      <alignment horizontal="center" vertical="center" wrapText="1"/>
      <protection hidden="1"/>
    </xf>
    <xf numFmtId="0" fontId="38" fillId="7" borderId="54" xfId="0" applyFont="1" applyFill="1" applyBorder="1" applyAlignment="1" applyProtection="1">
      <alignment horizontal="center" vertical="center" wrapText="1"/>
      <protection hidden="1"/>
    </xf>
    <xf numFmtId="0" fontId="38" fillId="7" borderId="58" xfId="0" applyFont="1" applyFill="1" applyBorder="1" applyAlignment="1" applyProtection="1">
      <alignment horizontal="center" vertical="center" wrapText="1"/>
      <protection hidden="1"/>
    </xf>
    <xf numFmtId="0" fontId="38" fillId="7" borderId="55" xfId="0" applyFont="1" applyFill="1" applyBorder="1" applyAlignment="1" applyProtection="1">
      <alignment horizontal="center" vertical="center" wrapText="1"/>
      <protection hidden="1"/>
    </xf>
    <xf numFmtId="0" fontId="38" fillId="7" borderId="56" xfId="0" applyFont="1" applyFill="1" applyBorder="1" applyAlignment="1" applyProtection="1">
      <alignment horizontal="center" vertical="center" wrapText="1"/>
      <protection hidden="1"/>
    </xf>
    <xf numFmtId="0" fontId="41" fillId="34" borderId="76" xfId="0" applyFont="1" applyFill="1" applyBorder="1" applyAlignment="1" applyProtection="1">
      <alignment horizontal="left" vertical="center" wrapText="1"/>
      <protection hidden="1"/>
    </xf>
    <xf numFmtId="0" fontId="41" fillId="34" borderId="9" xfId="0" applyFont="1" applyFill="1" applyBorder="1" applyAlignment="1" applyProtection="1">
      <alignment horizontal="left" vertical="center" wrapText="1"/>
      <protection hidden="1"/>
    </xf>
    <xf numFmtId="0" fontId="41" fillId="34" borderId="11"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41" fillId="34" borderId="31" xfId="0" applyFont="1" applyFill="1" applyBorder="1" applyAlignment="1" applyProtection="1">
      <alignment horizontal="left" vertical="center" wrapText="1"/>
      <protection hidden="1"/>
    </xf>
    <xf numFmtId="0" fontId="41" fillId="34" borderId="33" xfId="0" applyFont="1" applyFill="1" applyBorder="1" applyAlignment="1" applyProtection="1">
      <alignment horizontal="left" vertical="center" wrapText="1"/>
      <protection hidden="1"/>
    </xf>
    <xf numFmtId="0" fontId="41" fillId="34" borderId="32" xfId="0" applyFont="1" applyFill="1" applyBorder="1" applyAlignment="1" applyProtection="1">
      <alignment horizontal="left" vertical="center" wrapText="1"/>
      <protection hidden="1"/>
    </xf>
    <xf numFmtId="0" fontId="8" fillId="30" borderId="95" xfId="13" applyBorder="1" applyAlignment="1" applyProtection="1">
      <alignment horizontal="left" vertical="center" wrapText="1"/>
      <protection hidden="1"/>
    </xf>
    <xf numFmtId="0" fontId="8" fillId="30" borderId="104" xfId="13" applyBorder="1" applyAlignment="1" applyProtection="1">
      <alignment horizontal="left" vertical="center" wrapText="1"/>
      <protection hidden="1"/>
    </xf>
    <xf numFmtId="0" fontId="8" fillId="30" borderId="96" xfId="13" applyBorder="1" applyAlignment="1" applyProtection="1">
      <alignment horizontal="left" vertical="center" wrapText="1"/>
      <protection hidden="1"/>
    </xf>
    <xf numFmtId="0" fontId="8" fillId="30" borderId="116" xfId="13" applyBorder="1" applyAlignment="1" applyProtection="1">
      <alignment horizontal="left" vertical="center" wrapText="1"/>
      <protection hidden="1"/>
    </xf>
    <xf numFmtId="0" fontId="8" fillId="30" borderId="20" xfId="13" applyBorder="1" applyAlignment="1" applyProtection="1">
      <alignment horizontal="left" vertical="center" wrapText="1"/>
      <protection hidden="1"/>
    </xf>
    <xf numFmtId="0" fontId="8" fillId="30" borderId="107" xfId="13" applyBorder="1" applyAlignment="1" applyProtection="1">
      <alignment horizontal="left" vertical="center" wrapText="1"/>
      <protection hidden="1"/>
    </xf>
    <xf numFmtId="0" fontId="38" fillId="7" borderId="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2" fontId="8" fillId="30" borderId="95" xfId="13" applyNumberFormat="1" applyBorder="1" applyAlignment="1" applyProtection="1">
      <alignment horizontal="center" vertical="center"/>
      <protection hidden="1"/>
    </xf>
    <xf numFmtId="2" fontId="8" fillId="11" borderId="39" xfId="12" applyNumberFormat="1" applyFill="1" applyBorder="1" applyAlignment="1" applyProtection="1">
      <alignment horizontal="center" vertical="center"/>
      <protection hidden="1"/>
    </xf>
    <xf numFmtId="2" fontId="8" fillId="11" borderId="20" xfId="12" applyNumberFormat="1" applyFill="1" applyBorder="1" applyAlignment="1" applyProtection="1">
      <alignment horizontal="center" vertical="center"/>
      <protection hidden="1"/>
    </xf>
    <xf numFmtId="2" fontId="8" fillId="11" borderId="25" xfId="12" applyNumberFormat="1" applyFill="1" applyBorder="1" applyAlignment="1" applyProtection="1">
      <alignment horizontal="center" vertical="center"/>
      <protection hidden="1"/>
    </xf>
    <xf numFmtId="0" fontId="41" fillId="37" borderId="51" xfId="0" applyFont="1" applyFill="1" applyBorder="1" applyAlignment="1" applyProtection="1">
      <alignment horizontal="left" vertical="center" wrapText="1"/>
      <protection hidden="1"/>
    </xf>
    <xf numFmtId="0" fontId="41" fillId="37" borderId="106" xfId="0" applyFont="1" applyFill="1" applyBorder="1" applyAlignment="1" applyProtection="1">
      <alignment horizontal="left" vertical="center" wrapText="1"/>
      <protection hidden="1"/>
    </xf>
    <xf numFmtId="0" fontId="41" fillId="37" borderId="107"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23" xfId="0" applyFont="1" applyFill="1" applyBorder="1" applyAlignment="1" applyProtection="1">
      <alignment horizontal="left" vertical="center" wrapText="1"/>
      <protection hidden="1"/>
    </xf>
    <xf numFmtId="0" fontId="41" fillId="37" borderId="117" xfId="0" applyFont="1" applyFill="1" applyBorder="1" applyAlignment="1" applyProtection="1">
      <alignment horizontal="left" vertical="center" wrapText="1"/>
      <protection hidden="1"/>
    </xf>
    <xf numFmtId="0" fontId="41" fillId="37" borderId="33" xfId="0" applyFont="1" applyFill="1" applyBorder="1" applyAlignment="1" applyProtection="1">
      <alignment horizontal="left" vertical="center" wrapText="1"/>
      <protection hidden="1"/>
    </xf>
    <xf numFmtId="0" fontId="41" fillId="37" borderId="32" xfId="0" applyFont="1" applyFill="1" applyBorder="1" applyAlignment="1" applyProtection="1">
      <alignment horizontal="left" vertical="center" wrapText="1"/>
      <protection hidden="1"/>
    </xf>
    <xf numFmtId="0" fontId="8" fillId="11" borderId="113" xfId="12" applyFill="1" applyBorder="1" applyAlignment="1" applyProtection="1">
      <alignment horizontal="left" vertical="center" wrapText="1"/>
      <protection hidden="1"/>
    </xf>
    <xf numFmtId="0" fontId="8" fillId="11" borderId="104" xfId="12" applyFill="1" applyBorder="1" applyAlignment="1" applyProtection="1">
      <alignment horizontal="left" vertical="center" wrapText="1"/>
      <protection hidden="1"/>
    </xf>
    <xf numFmtId="0" fontId="8" fillId="11" borderId="96" xfId="12" applyFill="1" applyBorder="1" applyAlignment="1" applyProtection="1">
      <alignment horizontal="left" vertical="center" wrapText="1"/>
      <protection hidden="1"/>
    </xf>
    <xf numFmtId="0" fontId="8" fillId="11" borderId="39" xfId="12" applyFill="1" applyBorder="1" applyAlignment="1" applyProtection="1">
      <alignment horizontal="left" vertical="center" wrapText="1"/>
      <protection hidden="1"/>
    </xf>
    <xf numFmtId="0" fontId="8" fillId="11" borderId="20" xfId="12" applyFill="1" applyBorder="1" applyAlignment="1" applyProtection="1">
      <alignment horizontal="left" vertical="center" wrapText="1"/>
      <protection hidden="1"/>
    </xf>
    <xf numFmtId="0" fontId="8" fillId="11" borderId="25" xfId="12" applyFill="1" applyBorder="1" applyAlignment="1" applyProtection="1">
      <alignment horizontal="left" vertical="center" wrapText="1"/>
      <protection hidden="1"/>
    </xf>
    <xf numFmtId="2" fontId="8" fillId="11" borderId="113" xfId="12" applyNumberFormat="1" applyFill="1" applyBorder="1" applyAlignment="1" applyProtection="1">
      <alignment horizontal="center" vertical="center"/>
      <protection hidden="1"/>
    </xf>
    <xf numFmtId="0" fontId="8" fillId="11" borderId="104" xfId="12" applyFill="1" applyBorder="1" applyAlignment="1" applyProtection="1">
      <alignment horizontal="center" vertical="center"/>
      <protection hidden="1"/>
    </xf>
    <xf numFmtId="0" fontId="8" fillId="11" borderId="103" xfId="12" applyFill="1" applyBorder="1" applyAlignment="1" applyProtection="1">
      <alignment horizontal="center" vertical="center"/>
      <protection hidden="1"/>
    </xf>
    <xf numFmtId="0" fontId="8" fillId="11" borderId="95" xfId="12" applyFill="1" applyBorder="1" applyAlignment="1" applyProtection="1">
      <alignment horizontal="center" vertical="center" wrapText="1"/>
      <protection hidden="1"/>
    </xf>
    <xf numFmtId="0" fontId="8" fillId="11" borderId="104" xfId="12" applyFill="1" applyBorder="1" applyAlignment="1" applyProtection="1">
      <alignment horizontal="center" vertical="center" wrapText="1"/>
      <protection hidden="1"/>
    </xf>
    <xf numFmtId="0" fontId="8" fillId="11" borderId="96" xfId="12" applyFill="1" applyBorder="1" applyAlignment="1" applyProtection="1">
      <alignment horizontal="center" vertical="center" wrapText="1"/>
      <protection hidden="1"/>
    </xf>
    <xf numFmtId="0" fontId="41" fillId="37" borderId="0" xfId="0" applyFont="1" applyFill="1" applyBorder="1" applyAlignment="1" applyProtection="1">
      <alignment horizontal="left" vertical="center" wrapText="1"/>
      <protection hidden="1"/>
    </xf>
    <xf numFmtId="0" fontId="41" fillId="37" borderId="23" xfId="0" applyFont="1" applyFill="1" applyBorder="1" applyAlignment="1" applyProtection="1">
      <alignment horizontal="left" vertical="center" wrapText="1"/>
      <protection hidden="1"/>
    </xf>
    <xf numFmtId="0" fontId="8" fillId="11" borderId="96" xfId="12" applyFill="1" applyBorder="1" applyAlignment="1" applyProtection="1">
      <alignment horizontal="center" vertical="center"/>
      <protection hidden="1"/>
    </xf>
    <xf numFmtId="0" fontId="41" fillId="37" borderId="31" xfId="0" applyFont="1" applyFill="1" applyBorder="1" applyAlignment="1" applyProtection="1">
      <alignment horizontal="left" vertical="center" wrapText="1"/>
      <protection hidden="1"/>
    </xf>
    <xf numFmtId="0" fontId="38" fillId="7" borderId="24" xfId="0" applyFont="1" applyFill="1" applyBorder="1" applyAlignment="1" applyProtection="1">
      <alignment horizontal="center" vertical="center" wrapText="1"/>
      <protection hidden="1"/>
    </xf>
    <xf numFmtId="0" fontId="38" fillId="7" borderId="17" xfId="0" applyFont="1" applyFill="1" applyBorder="1" applyAlignment="1" applyProtection="1">
      <alignment horizontal="center" vertical="center" wrapText="1"/>
      <protection hidden="1"/>
    </xf>
    <xf numFmtId="0" fontId="38" fillId="7" borderId="18" xfId="0" applyFont="1" applyFill="1" applyBorder="1" applyAlignment="1" applyProtection="1">
      <alignment horizontal="center" vertical="center" wrapText="1"/>
      <protection hidden="1"/>
    </xf>
    <xf numFmtId="0" fontId="38" fillId="7" borderId="23" xfId="0" applyFont="1" applyFill="1" applyBorder="1" applyAlignment="1" applyProtection="1">
      <alignment horizontal="center" vertical="center" wrapText="1"/>
      <protection hidden="1"/>
    </xf>
    <xf numFmtId="0" fontId="38" fillId="7" borderId="19" xfId="0" applyFont="1" applyFill="1" applyBorder="1" applyAlignment="1" applyProtection="1">
      <alignment horizontal="center" vertical="center" wrapText="1"/>
      <protection hidden="1"/>
    </xf>
    <xf numFmtId="0" fontId="45" fillId="37" borderId="26" xfId="0" applyFont="1" applyFill="1" applyBorder="1" applyAlignment="1" applyProtection="1">
      <alignment horizontal="center"/>
      <protection hidden="1"/>
    </xf>
    <xf numFmtId="0" fontId="45" fillId="37" borderId="16" xfId="0" applyFont="1" applyFill="1" applyBorder="1" applyAlignment="1" applyProtection="1">
      <alignment horizontal="center"/>
      <protection hidden="1"/>
    </xf>
    <xf numFmtId="0" fontId="8" fillId="30" borderId="28" xfId="13" applyBorder="1" applyAlignment="1" applyProtection="1">
      <alignment horizontal="center" vertical="center" wrapText="1"/>
      <protection hidden="1"/>
    </xf>
    <xf numFmtId="0" fontId="8" fillId="30" borderId="24" xfId="13" applyBorder="1" applyAlignment="1" applyProtection="1">
      <alignment horizontal="center" vertical="center" wrapText="1"/>
      <protection hidden="1"/>
    </xf>
    <xf numFmtId="0" fontId="8" fillId="30" borderId="22" xfId="13" applyBorder="1" applyAlignment="1" applyProtection="1">
      <alignment horizontal="center" vertical="center" wrapText="1"/>
      <protection hidden="1"/>
    </xf>
    <xf numFmtId="0" fontId="8" fillId="30" borderId="23" xfId="13" applyBorder="1" applyAlignment="1" applyProtection="1">
      <alignment horizontal="center" vertical="center" wrapText="1"/>
      <protection hidden="1"/>
    </xf>
    <xf numFmtId="0" fontId="50" fillId="26" borderId="29" xfId="9" applyBorder="1" applyAlignment="1" applyProtection="1">
      <alignment horizontal="center"/>
      <protection hidden="1"/>
    </xf>
    <xf numFmtId="0" fontId="50" fillId="26" borderId="16" xfId="9" applyBorder="1" applyAlignment="1" applyProtection="1">
      <alignment horizontal="center"/>
      <protection hidden="1"/>
    </xf>
    <xf numFmtId="165" fontId="38" fillId="20" borderId="79" xfId="0" applyNumberFormat="1" applyFont="1" applyFill="1" applyBorder="1" applyAlignment="1" applyProtection="1">
      <alignment horizontal="center" vertical="center"/>
      <protection hidden="1"/>
    </xf>
    <xf numFmtId="165" fontId="38" fillId="20" borderId="83" xfId="0" applyNumberFormat="1" applyFont="1" applyFill="1" applyBorder="1" applyAlignment="1" applyProtection="1">
      <alignment horizontal="center" vertical="center"/>
      <protection hidden="1"/>
    </xf>
    <xf numFmtId="0" fontId="8" fillId="30" borderId="95" xfId="13" applyBorder="1" applyAlignment="1" applyProtection="1">
      <alignment horizontal="center" vertical="center"/>
      <protection hidden="1"/>
    </xf>
    <xf numFmtId="2" fontId="8" fillId="30" borderId="39" xfId="13" applyNumberFormat="1" applyBorder="1" applyAlignment="1" applyProtection="1">
      <alignment horizontal="center" vertical="center"/>
      <protection hidden="1"/>
    </xf>
    <xf numFmtId="2" fontId="8" fillId="30" borderId="20" xfId="13" applyNumberFormat="1" applyBorder="1" applyAlignment="1" applyProtection="1">
      <alignment horizontal="center" vertical="center"/>
      <protection hidden="1"/>
    </xf>
    <xf numFmtId="2" fontId="8" fillId="30" borderId="25" xfId="13" applyNumberFormat="1" applyBorder="1" applyAlignment="1" applyProtection="1">
      <alignment horizontal="center" vertical="center"/>
      <protection hidden="1"/>
    </xf>
    <xf numFmtId="0" fontId="62" fillId="29" borderId="44" xfId="12" applyFont="1" applyBorder="1" applyAlignment="1" applyProtection="1">
      <alignment horizontal="center"/>
      <protection hidden="1"/>
    </xf>
    <xf numFmtId="0" fontId="62" fillId="29" borderId="47" xfId="12" applyFont="1" applyBorder="1" applyAlignment="1" applyProtection="1">
      <alignment horizontal="center"/>
      <protection hidden="1"/>
    </xf>
    <xf numFmtId="0" fontId="8" fillId="29" borderId="0" xfId="12" applyBorder="1" applyAlignment="1" applyProtection="1">
      <alignment horizontal="center"/>
      <protection hidden="1"/>
    </xf>
    <xf numFmtId="0" fontId="8" fillId="29" borderId="18" xfId="12" applyBorder="1" applyAlignment="1" applyProtection="1">
      <alignment horizontal="center"/>
      <protection hidden="1"/>
    </xf>
    <xf numFmtId="0" fontId="61" fillId="29" borderId="40" xfId="12" applyFont="1" applyBorder="1" applyAlignment="1" applyProtection="1">
      <alignment horizontal="center"/>
      <protection hidden="1"/>
    </xf>
    <xf numFmtId="0" fontId="8" fillId="29" borderId="41" xfId="12" applyBorder="1" applyAlignment="1" applyProtection="1">
      <alignment horizontal="center"/>
      <protection hidden="1"/>
    </xf>
    <xf numFmtId="0" fontId="8" fillId="29" borderId="77" xfId="12" applyBorder="1" applyAlignment="1" applyProtection="1">
      <alignment horizontal="center"/>
      <protection hidden="1"/>
    </xf>
    <xf numFmtId="0" fontId="8" fillId="29" borderId="44" xfId="12" applyBorder="1" applyAlignment="1" applyProtection="1">
      <alignment horizontal="center"/>
      <protection hidden="1"/>
    </xf>
    <xf numFmtId="0" fontId="8" fillId="29" borderId="100" xfId="12" applyBorder="1" applyAlignment="1" applyProtection="1">
      <alignment horizontal="center"/>
      <protection hidden="1"/>
    </xf>
    <xf numFmtId="0" fontId="50" fillId="24" borderId="0" xfId="7" applyAlignment="1" applyProtection="1">
      <alignment horizontal="center" vertical="center"/>
      <protection hidden="1"/>
    </xf>
    <xf numFmtId="2" fontId="38" fillId="9" borderId="7" xfId="0" applyNumberFormat="1" applyFont="1" applyFill="1" applyBorder="1" applyAlignment="1" applyProtection="1">
      <alignment horizontal="center" vertical="center"/>
      <protection hidden="1"/>
    </xf>
    <xf numFmtId="2" fontId="38" fillId="9" borderId="35" xfId="0" applyNumberFormat="1" applyFont="1" applyFill="1" applyBorder="1" applyAlignment="1" applyProtection="1">
      <alignment horizontal="center" vertical="center"/>
      <protection hidden="1"/>
    </xf>
    <xf numFmtId="2" fontId="41" fillId="14" borderId="9" xfId="1" applyNumberFormat="1" applyFont="1" applyBorder="1" applyAlignment="1" applyProtection="1">
      <alignment horizontal="center" vertical="center"/>
      <protection hidden="1"/>
    </xf>
    <xf numFmtId="2" fontId="41" fillId="14" borderId="11" xfId="1" applyNumberFormat="1" applyFont="1" applyBorder="1" applyAlignment="1" applyProtection="1">
      <alignment horizontal="center" vertical="center"/>
      <protection hidden="1"/>
    </xf>
    <xf numFmtId="165" fontId="41" fillId="25" borderId="9" xfId="8" applyNumberFormat="1" applyFont="1" applyBorder="1" applyAlignment="1" applyProtection="1">
      <alignment horizontal="center" vertical="center"/>
      <protection hidden="1"/>
    </xf>
    <xf numFmtId="165" fontId="41" fillId="25" borderId="11" xfId="8" applyNumberFormat="1" applyFont="1" applyBorder="1" applyAlignment="1" applyProtection="1">
      <alignment horizontal="center" vertical="center"/>
      <protection hidden="1"/>
    </xf>
    <xf numFmtId="0" fontId="33" fillId="34" borderId="0" xfId="1" applyFont="1" applyFill="1" applyAlignment="1" applyProtection="1">
      <alignment horizontal="center" vertical="center"/>
      <protection hidden="1"/>
    </xf>
    <xf numFmtId="0" fontId="38" fillId="22" borderId="111" xfId="5" applyFont="1" applyBorder="1" applyAlignment="1" applyProtection="1">
      <alignment horizontal="center" vertical="center" wrapText="1"/>
      <protection hidden="1"/>
    </xf>
    <xf numFmtId="0" fontId="38" fillId="22" borderId="115" xfId="5" applyFont="1" applyBorder="1" applyAlignment="1" applyProtection="1">
      <alignment horizontal="center" vertical="center" wrapText="1"/>
      <protection hidden="1"/>
    </xf>
    <xf numFmtId="0" fontId="38" fillId="12" borderId="95" xfId="0" applyFont="1" applyFill="1" applyBorder="1" applyAlignment="1" applyProtection="1">
      <alignment horizontal="center" vertical="center" wrapText="1"/>
      <protection hidden="1"/>
    </xf>
    <xf numFmtId="0" fontId="38" fillId="12" borderId="104" xfId="0" applyFont="1" applyFill="1" applyBorder="1" applyAlignment="1" applyProtection="1">
      <alignment horizontal="center" vertical="center" wrapText="1"/>
      <protection hidden="1"/>
    </xf>
    <xf numFmtId="0" fontId="38" fillId="12" borderId="96" xfId="0" applyFont="1" applyFill="1" applyBorder="1" applyAlignment="1" applyProtection="1">
      <alignment horizontal="center" vertical="center" wrapText="1"/>
      <protection hidden="1"/>
    </xf>
    <xf numFmtId="0" fontId="13" fillId="11" borderId="95" xfId="0" applyFont="1" applyFill="1" applyBorder="1" applyAlignment="1" applyProtection="1">
      <alignment horizontal="center" vertical="center" wrapText="1"/>
      <protection hidden="1"/>
    </xf>
    <xf numFmtId="0" fontId="13" fillId="11" borderId="96" xfId="0" applyFont="1" applyFill="1" applyBorder="1" applyAlignment="1" applyProtection="1">
      <alignment horizontal="center" vertical="center" wrapText="1"/>
      <protection hidden="1"/>
    </xf>
    <xf numFmtId="0" fontId="13" fillId="11" borderId="113" xfId="0" applyFont="1" applyFill="1" applyBorder="1" applyAlignment="1" applyProtection="1">
      <alignment horizontal="center" vertical="center" wrapText="1"/>
      <protection hidden="1"/>
    </xf>
    <xf numFmtId="0" fontId="31" fillId="17" borderId="79" xfId="0" applyFont="1" applyFill="1" applyBorder="1" applyAlignment="1" applyProtection="1">
      <alignment horizontal="center" vertical="center"/>
      <protection hidden="1"/>
    </xf>
    <xf numFmtId="0" fontId="31" fillId="17" borderId="83" xfId="0" applyFont="1" applyFill="1" applyBorder="1" applyAlignment="1" applyProtection="1">
      <alignment horizontal="center" vertical="center"/>
      <protection hidden="1"/>
    </xf>
    <xf numFmtId="0" fontId="8" fillId="29" borderId="0" xfId="12" applyAlignment="1" applyProtection="1">
      <alignment horizontal="center"/>
      <protection hidden="1"/>
    </xf>
    <xf numFmtId="0" fontId="38" fillId="12" borderId="4" xfId="0" applyFont="1" applyFill="1" applyBorder="1" applyAlignment="1" applyProtection="1">
      <alignment horizontal="center" vertical="center" wrapText="1"/>
      <protection hidden="1"/>
    </xf>
    <xf numFmtId="0" fontId="38" fillId="12" borderId="43" xfId="0" applyFont="1" applyFill="1" applyBorder="1" applyAlignment="1" applyProtection="1">
      <alignment horizontal="center" vertical="center" wrapText="1"/>
      <protection hidden="1"/>
    </xf>
    <xf numFmtId="0" fontId="38" fillId="12" borderId="40" xfId="0" applyFont="1" applyFill="1" applyBorder="1" applyAlignment="1" applyProtection="1">
      <alignment horizontal="center" vertical="center" wrapText="1"/>
      <protection hidden="1"/>
    </xf>
    <xf numFmtId="0" fontId="38" fillId="12" borderId="42" xfId="0" applyFont="1" applyFill="1" applyBorder="1" applyAlignment="1" applyProtection="1">
      <alignment horizontal="center" vertical="center" wrapText="1"/>
      <protection hidden="1"/>
    </xf>
    <xf numFmtId="0" fontId="56" fillId="24" borderId="43" xfId="7" applyFont="1" applyBorder="1" applyAlignment="1" applyProtection="1">
      <alignment horizontal="center" vertical="center" wrapText="1"/>
      <protection hidden="1"/>
    </xf>
    <xf numFmtId="0" fontId="56" fillId="24" borderId="42" xfId="7" applyFont="1" applyBorder="1" applyAlignment="1" applyProtection="1">
      <alignment horizontal="center" vertical="center" wrapText="1"/>
      <protection hidden="1"/>
    </xf>
    <xf numFmtId="0" fontId="80" fillId="5" borderId="0" xfId="0" applyFont="1" applyFill="1" applyBorder="1" applyAlignment="1" applyProtection="1">
      <alignment horizontal="left" vertical="center" wrapText="1" readingOrder="1"/>
      <protection hidden="1"/>
    </xf>
    <xf numFmtId="0" fontId="80" fillId="5" borderId="7" xfId="0" applyFont="1" applyFill="1" applyBorder="1" applyAlignment="1" applyProtection="1">
      <alignment horizontal="left" vertical="center" wrapText="1" readingOrder="1"/>
      <protection hidden="1"/>
    </xf>
    <xf numFmtId="0" fontId="37" fillId="5" borderId="0" xfId="0" applyFont="1" applyFill="1" applyBorder="1" applyAlignment="1" applyProtection="1">
      <alignment horizontal="center" vertical="center" wrapText="1" readingOrder="1"/>
      <protection hidden="1"/>
    </xf>
    <xf numFmtId="0" fontId="37" fillId="5" borderId="7" xfId="0" applyFont="1" applyFill="1" applyBorder="1" applyAlignment="1" applyProtection="1">
      <alignment horizontal="center" vertical="center" wrapText="1" readingOrder="1"/>
      <protection hidden="1"/>
    </xf>
    <xf numFmtId="0" fontId="80" fillId="5" borderId="41" xfId="0" applyFont="1" applyFill="1" applyBorder="1" applyAlignment="1" applyProtection="1">
      <alignment horizontal="center" vertical="center" wrapText="1" readingOrder="1"/>
      <protection hidden="1"/>
    </xf>
    <xf numFmtId="0" fontId="80" fillId="5" borderId="42" xfId="0" applyFont="1" applyFill="1" applyBorder="1" applyAlignment="1" applyProtection="1">
      <alignment horizontal="center" vertical="center" wrapText="1" readingOrder="1"/>
      <protection hidden="1"/>
    </xf>
    <xf numFmtId="0" fontId="38" fillId="9" borderId="79" xfId="0" applyFont="1" applyFill="1" applyBorder="1" applyAlignment="1" applyProtection="1">
      <alignment horizontal="center" vertical="center" wrapText="1"/>
      <protection hidden="1"/>
    </xf>
    <xf numFmtId="0" fontId="38" fillId="9" borderId="83" xfId="0" applyFont="1" applyFill="1" applyBorder="1" applyAlignment="1" applyProtection="1">
      <alignment horizontal="center" vertical="center" wrapText="1"/>
      <protection hidden="1"/>
    </xf>
    <xf numFmtId="0" fontId="41" fillId="14" borderId="79" xfId="1" applyFont="1" applyBorder="1" applyAlignment="1" applyProtection="1">
      <alignment horizontal="center" vertical="center" wrapText="1"/>
      <protection hidden="1"/>
    </xf>
    <xf numFmtId="0" fontId="41" fillId="14" borderId="83" xfId="1" applyFont="1" applyBorder="1" applyAlignment="1" applyProtection="1">
      <alignment horizontal="center" vertical="center" wrapText="1"/>
      <protection hidden="1"/>
    </xf>
    <xf numFmtId="0" fontId="38" fillId="16" borderId="79" xfId="3" applyFont="1" applyBorder="1" applyAlignment="1" applyProtection="1">
      <alignment horizontal="center" vertical="center" wrapText="1"/>
      <protection hidden="1"/>
    </xf>
    <xf numFmtId="0" fontId="38" fillId="16" borderId="83" xfId="3" applyFont="1" applyBorder="1" applyAlignment="1" applyProtection="1">
      <alignment horizontal="center" vertical="center" wrapText="1"/>
      <protection hidden="1"/>
    </xf>
    <xf numFmtId="0" fontId="61" fillId="29" borderId="0" xfId="12" applyFont="1" applyBorder="1" applyAlignment="1" applyProtection="1">
      <alignment horizontal="center"/>
      <protection hidden="1"/>
    </xf>
    <xf numFmtId="0" fontId="61" fillId="29" borderId="7" xfId="12" applyFont="1" applyBorder="1" applyAlignment="1" applyProtection="1">
      <alignment horizontal="center"/>
      <protection hidden="1"/>
    </xf>
    <xf numFmtId="0" fontId="5" fillId="29" borderId="0" xfId="12" applyFont="1" applyBorder="1" applyAlignment="1" applyProtection="1">
      <alignment horizontal="center" vertical="center"/>
      <protection hidden="1"/>
    </xf>
    <xf numFmtId="0" fontId="6" fillId="29" borderId="0" xfId="12" applyFont="1" applyBorder="1" applyAlignment="1" applyProtection="1">
      <alignment horizontal="center" vertical="center"/>
      <protection hidden="1"/>
    </xf>
    <xf numFmtId="0" fontId="6" fillId="29" borderId="7" xfId="12" applyFont="1" applyBorder="1" applyAlignment="1" applyProtection="1">
      <alignment horizontal="center" vertical="center"/>
      <protection hidden="1"/>
    </xf>
    <xf numFmtId="0" fontId="38" fillId="17" borderId="72" xfId="0" applyFont="1" applyFill="1" applyBorder="1" applyAlignment="1" applyProtection="1">
      <alignment horizontal="left"/>
      <protection hidden="1"/>
    </xf>
    <xf numFmtId="0" fontId="38" fillId="17" borderId="47" xfId="0" applyFont="1" applyFill="1" applyBorder="1" applyAlignment="1" applyProtection="1">
      <alignment horizontal="left"/>
      <protection hidden="1"/>
    </xf>
    <xf numFmtId="0" fontId="38" fillId="17" borderId="6" xfId="0" applyFont="1" applyFill="1" applyBorder="1" applyAlignment="1" applyProtection="1">
      <alignment horizontal="left"/>
      <protection hidden="1"/>
    </xf>
    <xf numFmtId="0" fontId="38" fillId="17" borderId="7" xfId="0" applyFont="1" applyFill="1" applyBorder="1" applyAlignment="1" applyProtection="1">
      <alignment horizontal="left"/>
      <protection hidden="1"/>
    </xf>
    <xf numFmtId="0" fontId="38" fillId="17" borderId="44" xfId="0" applyFont="1" applyFill="1" applyBorder="1" applyAlignment="1" applyProtection="1">
      <alignment horizontal="left" vertical="center" wrapText="1"/>
      <protection hidden="1"/>
    </xf>
    <xf numFmtId="0" fontId="38" fillId="17" borderId="47" xfId="0" applyFont="1" applyFill="1" applyBorder="1" applyAlignment="1" applyProtection="1">
      <alignment horizontal="left" vertical="center" wrapText="1"/>
      <protection hidden="1"/>
    </xf>
    <xf numFmtId="0" fontId="38" fillId="17" borderId="73" xfId="0" applyFont="1" applyFill="1" applyBorder="1" applyAlignment="1" applyProtection="1">
      <alignment horizontal="left" vertical="center" wrapText="1"/>
      <protection hidden="1"/>
    </xf>
    <xf numFmtId="0" fontId="38" fillId="17" borderId="75" xfId="0" applyFont="1" applyFill="1" applyBorder="1" applyAlignment="1" applyProtection="1">
      <alignment horizontal="left" vertical="center" wrapText="1"/>
      <protection hidden="1"/>
    </xf>
    <xf numFmtId="0" fontId="38" fillId="17" borderId="44" xfId="0" applyFont="1" applyFill="1" applyBorder="1" applyAlignment="1" applyProtection="1">
      <alignment horizontal="left"/>
      <protection hidden="1"/>
    </xf>
    <xf numFmtId="0" fontId="38" fillId="19" borderId="72" xfId="0" applyFont="1" applyFill="1" applyBorder="1" applyAlignment="1" applyProtection="1">
      <alignment horizontal="center"/>
      <protection locked="0"/>
    </xf>
    <xf numFmtId="0" fontId="38" fillId="19" borderId="44" xfId="0" applyFont="1" applyFill="1" applyBorder="1" applyAlignment="1" applyProtection="1">
      <alignment horizontal="center"/>
      <protection locked="0"/>
    </xf>
    <xf numFmtId="0" fontId="38" fillId="19" borderId="47" xfId="0" applyFont="1" applyFill="1" applyBorder="1" applyAlignment="1" applyProtection="1">
      <alignment horizontal="center"/>
      <protection locked="0"/>
    </xf>
    <xf numFmtId="0" fontId="31" fillId="18" borderId="95" xfId="0" applyFont="1" applyFill="1" applyBorder="1" applyAlignment="1" applyProtection="1">
      <alignment horizontal="left" vertical="center" wrapText="1"/>
      <protection hidden="1"/>
    </xf>
    <xf numFmtId="0" fontId="31" fillId="18" borderId="103" xfId="0" applyFont="1" applyFill="1" applyBorder="1" applyAlignment="1" applyProtection="1">
      <alignment horizontal="left" vertical="center" wrapText="1"/>
      <protection hidden="1"/>
    </xf>
    <xf numFmtId="2" fontId="31" fillId="19" borderId="72" xfId="0" applyNumberFormat="1" applyFont="1" applyFill="1" applyBorder="1" applyAlignment="1" applyProtection="1">
      <alignment horizontal="center" vertical="center" wrapText="1"/>
      <protection hidden="1"/>
    </xf>
    <xf numFmtId="2" fontId="31" fillId="19" borderId="44" xfId="0" applyNumberFormat="1" applyFont="1" applyFill="1" applyBorder="1" applyAlignment="1" applyProtection="1">
      <alignment horizontal="center" vertical="center" wrapText="1"/>
      <protection hidden="1"/>
    </xf>
    <xf numFmtId="2" fontId="31" fillId="19" borderId="47" xfId="0" applyNumberFormat="1" applyFont="1" applyFill="1" applyBorder="1" applyAlignment="1" applyProtection="1">
      <alignment horizontal="center" vertical="center" wrapText="1"/>
      <protection hidden="1"/>
    </xf>
    <xf numFmtId="10" fontId="68" fillId="19" borderId="72" xfId="0" applyNumberFormat="1" applyFont="1" applyFill="1" applyBorder="1" applyAlignment="1" applyProtection="1">
      <alignment horizontal="center" vertical="center" wrapText="1"/>
      <protection hidden="1"/>
    </xf>
    <xf numFmtId="10" fontId="68" fillId="19" borderId="44" xfId="0" applyNumberFormat="1" applyFont="1" applyFill="1" applyBorder="1" applyAlignment="1" applyProtection="1">
      <alignment horizontal="center" vertical="center" wrapText="1"/>
      <protection hidden="1"/>
    </xf>
    <xf numFmtId="10" fontId="68" fillId="19" borderId="47" xfId="0" applyNumberFormat="1" applyFont="1" applyFill="1" applyBorder="1" applyAlignment="1" applyProtection="1">
      <alignment horizontal="center" vertical="center" wrapText="1"/>
      <protection hidden="1"/>
    </xf>
    <xf numFmtId="0" fontId="31" fillId="18" borderId="5" xfId="0" applyFont="1" applyFill="1" applyBorder="1" applyAlignment="1" applyProtection="1">
      <alignment horizontal="left" vertical="center" wrapText="1"/>
      <protection hidden="1"/>
    </xf>
    <xf numFmtId="0" fontId="31" fillId="18" borderId="43" xfId="0" applyFont="1" applyFill="1" applyBorder="1" applyAlignment="1" applyProtection="1">
      <alignment horizontal="left" vertical="center" wrapText="1"/>
      <protection hidden="1"/>
    </xf>
    <xf numFmtId="0" fontId="31" fillId="18" borderId="0" xfId="0" applyFont="1" applyFill="1" applyBorder="1" applyAlignment="1" applyProtection="1">
      <alignment horizontal="left" vertical="center" wrapText="1"/>
      <protection hidden="1"/>
    </xf>
    <xf numFmtId="0" fontId="31" fillId="18" borderId="7" xfId="0" applyFont="1" applyFill="1" applyBorder="1" applyAlignment="1" applyProtection="1">
      <alignment horizontal="left" vertical="center" wrapText="1"/>
      <protection hidden="1"/>
    </xf>
    <xf numFmtId="2" fontId="38" fillId="19" borderId="0" xfId="0" applyNumberFormat="1" applyFont="1" applyFill="1" applyBorder="1" applyAlignment="1" applyProtection="1">
      <alignment horizontal="left" vertical="distributed" wrapText="1"/>
      <protection hidden="1"/>
    </xf>
    <xf numFmtId="2" fontId="38" fillId="19" borderId="18" xfId="0" applyNumberFormat="1" applyFont="1" applyFill="1" applyBorder="1" applyAlignment="1" applyProtection="1">
      <alignment horizontal="left" vertical="distributed" wrapText="1"/>
      <protection hidden="1"/>
    </xf>
    <xf numFmtId="2" fontId="38" fillId="19" borderId="23" xfId="0" applyNumberFormat="1" applyFont="1" applyFill="1" applyBorder="1" applyAlignment="1" applyProtection="1">
      <alignment horizontal="left" vertical="distributed" wrapText="1"/>
      <protection hidden="1"/>
    </xf>
    <xf numFmtId="2" fontId="38" fillId="19" borderId="19" xfId="0" applyNumberFormat="1" applyFont="1" applyFill="1" applyBorder="1" applyAlignment="1" applyProtection="1">
      <alignment horizontal="left" vertical="distributed" wrapText="1"/>
      <protection hidden="1"/>
    </xf>
    <xf numFmtId="0" fontId="38" fillId="18" borderId="5" xfId="0" applyFont="1" applyFill="1" applyBorder="1" applyAlignment="1" applyProtection="1">
      <alignment horizontal="left" vertical="center" wrapText="1"/>
      <protection hidden="1"/>
    </xf>
    <xf numFmtId="0" fontId="38" fillId="18" borderId="43" xfId="0" applyFont="1" applyFill="1" applyBorder="1" applyAlignment="1" applyProtection="1">
      <alignment horizontal="left" vertical="center" wrapText="1"/>
      <protection hidden="1"/>
    </xf>
    <xf numFmtId="0" fontId="38" fillId="18" borderId="0" xfId="0" applyFont="1" applyFill="1" applyBorder="1" applyAlignment="1" applyProtection="1">
      <alignment horizontal="left" vertical="center" wrapText="1"/>
      <protection hidden="1"/>
    </xf>
    <xf numFmtId="0" fontId="38" fillId="18" borderId="7" xfId="0" applyFont="1" applyFill="1" applyBorder="1" applyAlignment="1" applyProtection="1">
      <alignment horizontal="left" vertical="center" wrapText="1"/>
      <protection hidden="1"/>
    </xf>
    <xf numFmtId="2" fontId="38" fillId="19" borderId="7" xfId="0" applyNumberFormat="1" applyFont="1" applyFill="1" applyBorder="1" applyAlignment="1" applyProtection="1">
      <alignment horizontal="left" vertical="distributed" wrapText="1"/>
      <protection hidden="1"/>
    </xf>
    <xf numFmtId="2" fontId="38" fillId="19" borderId="35" xfId="0" applyNumberFormat="1" applyFont="1" applyFill="1" applyBorder="1" applyAlignment="1" applyProtection="1">
      <alignment horizontal="left" vertical="distributed" wrapText="1"/>
      <protection hidden="1"/>
    </xf>
    <xf numFmtId="2" fontId="31" fillId="19" borderId="0" xfId="0" applyNumberFormat="1" applyFont="1" applyFill="1" applyBorder="1" applyAlignment="1" applyProtection="1">
      <alignment horizontal="center" vertical="center" wrapText="1"/>
      <protection hidden="1"/>
    </xf>
    <xf numFmtId="2" fontId="31" fillId="19" borderId="7" xfId="0" applyNumberFormat="1" applyFont="1" applyFill="1" applyBorder="1" applyAlignment="1" applyProtection="1">
      <alignment horizontal="center" vertical="center" wrapText="1"/>
      <protection hidden="1"/>
    </xf>
    <xf numFmtId="0" fontId="38" fillId="18" borderId="95" xfId="0" applyFont="1" applyFill="1" applyBorder="1" applyAlignment="1" applyProtection="1">
      <alignment horizontal="left" vertical="center" wrapText="1"/>
      <protection hidden="1"/>
    </xf>
    <xf numFmtId="0" fontId="38" fillId="18" borderId="96" xfId="0" applyFont="1" applyFill="1" applyBorder="1" applyAlignment="1" applyProtection="1">
      <alignment horizontal="left" vertical="center" wrapText="1"/>
      <protection hidden="1"/>
    </xf>
    <xf numFmtId="0" fontId="38" fillId="18" borderId="104" xfId="0" applyFont="1" applyFill="1" applyBorder="1" applyAlignment="1" applyProtection="1">
      <alignment horizontal="left" vertical="center" wrapText="1"/>
      <protection hidden="1"/>
    </xf>
    <xf numFmtId="0" fontId="38" fillId="18" borderId="103" xfId="0" applyFont="1" applyFill="1" applyBorder="1" applyAlignment="1" applyProtection="1">
      <alignment horizontal="left" vertical="center" wrapText="1"/>
      <protection hidden="1"/>
    </xf>
    <xf numFmtId="0" fontId="41" fillId="14" borderId="1" xfId="1" applyFont="1" applyBorder="1" applyAlignment="1" applyProtection="1">
      <alignment horizontal="left" vertical="center" wrapText="1"/>
      <protection hidden="1"/>
    </xf>
    <xf numFmtId="0" fontId="41" fillId="14" borderId="0" xfId="1" applyFont="1" applyBorder="1" applyAlignment="1" applyProtection="1">
      <alignment horizontal="left" vertical="center" wrapText="1"/>
      <protection hidden="1"/>
    </xf>
    <xf numFmtId="0" fontId="41" fillId="14" borderId="7" xfId="1" applyFont="1" applyBorder="1" applyAlignment="1" applyProtection="1">
      <alignment horizontal="left" vertical="center" wrapText="1"/>
      <protection hidden="1"/>
    </xf>
    <xf numFmtId="0" fontId="41" fillId="14" borderId="123" xfId="1" applyFont="1" applyBorder="1" applyAlignment="1" applyProtection="1">
      <alignment horizontal="left" vertical="center" wrapText="1"/>
      <protection hidden="1"/>
    </xf>
    <xf numFmtId="0" fontId="41" fillId="14" borderId="41" xfId="1" applyFont="1" applyBorder="1" applyAlignment="1" applyProtection="1">
      <alignment horizontal="left" vertical="center" wrapText="1"/>
      <protection hidden="1"/>
    </xf>
    <xf numFmtId="0" fontId="31" fillId="18" borderId="1" xfId="0" applyFont="1" applyFill="1" applyBorder="1" applyAlignment="1" applyProtection="1">
      <alignment horizontal="left" vertical="center" wrapText="1"/>
      <protection hidden="1"/>
    </xf>
    <xf numFmtId="2" fontId="56" fillId="19" borderId="23" xfId="0" applyNumberFormat="1" applyFont="1" applyFill="1" applyBorder="1" applyAlignment="1" applyProtection="1">
      <alignment horizontal="right" vertical="center" wrapText="1"/>
      <protection hidden="1"/>
    </xf>
    <xf numFmtId="2" fontId="38" fillId="19" borderId="24" xfId="0" applyNumberFormat="1" applyFont="1" applyFill="1" applyBorder="1" applyAlignment="1" applyProtection="1">
      <alignment horizontal="center" vertical="center" wrapText="1"/>
      <protection hidden="1"/>
    </xf>
    <xf numFmtId="2" fontId="31" fillId="19" borderId="18" xfId="0" applyNumberFormat="1" applyFont="1" applyFill="1" applyBorder="1" applyAlignment="1" applyProtection="1">
      <alignment horizontal="center" vertical="center" wrapText="1"/>
      <protection hidden="1"/>
    </xf>
    <xf numFmtId="0" fontId="41" fillId="14" borderId="42" xfId="1" applyFont="1" applyBorder="1" applyAlignment="1" applyProtection="1">
      <alignment horizontal="left" vertical="center" wrapText="1"/>
      <protection hidden="1"/>
    </xf>
    <xf numFmtId="2" fontId="68" fillId="19" borderId="72" xfId="0" applyNumberFormat="1" applyFont="1" applyFill="1" applyBorder="1" applyAlignment="1" applyProtection="1">
      <alignment horizontal="center" vertical="center" wrapText="1"/>
      <protection hidden="1"/>
    </xf>
    <xf numFmtId="2" fontId="68" fillId="19" borderId="44" xfId="0" applyNumberFormat="1" applyFont="1" applyFill="1" applyBorder="1" applyAlignment="1" applyProtection="1">
      <alignment horizontal="center" vertical="center" wrapText="1"/>
      <protection hidden="1"/>
    </xf>
    <xf numFmtId="2" fontId="68" fillId="19" borderId="47" xfId="0" applyNumberFormat="1" applyFont="1" applyFill="1" applyBorder="1" applyAlignment="1" applyProtection="1">
      <alignment horizontal="center" vertical="center" wrapText="1"/>
      <protection hidden="1"/>
    </xf>
    <xf numFmtId="2" fontId="38" fillId="19" borderId="5" xfId="0" applyNumberFormat="1" applyFont="1" applyFill="1" applyBorder="1" applyAlignment="1" applyProtection="1">
      <alignment horizontal="left" vertical="justify" wrapText="1"/>
      <protection hidden="1"/>
    </xf>
    <xf numFmtId="2" fontId="38" fillId="19" borderId="43" xfId="0" applyNumberFormat="1" applyFont="1" applyFill="1" applyBorder="1" applyAlignment="1" applyProtection="1">
      <alignment horizontal="left" vertical="justify" wrapText="1"/>
      <protection hidden="1"/>
    </xf>
    <xf numFmtId="2" fontId="38" fillId="19" borderId="0" xfId="0" applyNumberFormat="1" applyFont="1" applyFill="1" applyBorder="1" applyAlignment="1" applyProtection="1">
      <alignment horizontal="left" vertical="justify" wrapText="1"/>
      <protection hidden="1"/>
    </xf>
    <xf numFmtId="2" fontId="38" fillId="19" borderId="7" xfId="0" applyNumberFormat="1" applyFont="1" applyFill="1" applyBorder="1" applyAlignment="1" applyProtection="1">
      <alignment horizontal="left" vertical="justify" wrapText="1"/>
      <protection hidden="1"/>
    </xf>
    <xf numFmtId="2" fontId="38" fillId="19" borderId="41" xfId="0" applyNumberFormat="1" applyFont="1" applyFill="1" applyBorder="1" applyAlignment="1" applyProtection="1">
      <alignment horizontal="left" vertical="justify" wrapText="1"/>
      <protection hidden="1"/>
    </xf>
    <xf numFmtId="2" fontId="38" fillId="19" borderId="42" xfId="0" applyNumberFormat="1" applyFont="1" applyFill="1" applyBorder="1" applyAlignment="1" applyProtection="1">
      <alignment horizontal="left" vertical="justify" wrapText="1"/>
      <protection hidden="1"/>
    </xf>
    <xf numFmtId="0" fontId="38" fillId="18" borderId="4" xfId="0" applyFont="1" applyFill="1" applyBorder="1" applyAlignment="1" applyProtection="1">
      <alignment horizontal="left" vertical="center" wrapText="1"/>
      <protection hidden="1"/>
    </xf>
    <xf numFmtId="0" fontId="38" fillId="18" borderId="6" xfId="0" applyFont="1" applyFill="1" applyBorder="1" applyAlignment="1" applyProtection="1">
      <alignment horizontal="left" vertical="center" wrapText="1"/>
      <protection hidden="1"/>
    </xf>
    <xf numFmtId="0" fontId="38" fillId="18" borderId="40" xfId="0" applyFont="1" applyFill="1" applyBorder="1" applyAlignment="1" applyProtection="1">
      <alignment horizontal="left" vertical="center" wrapText="1"/>
      <protection hidden="1"/>
    </xf>
    <xf numFmtId="0" fontId="38" fillId="18" borderId="42" xfId="0" applyFont="1" applyFill="1" applyBorder="1" applyAlignment="1" applyProtection="1">
      <alignment horizontal="left" vertical="center" wrapText="1"/>
      <protection hidden="1"/>
    </xf>
    <xf numFmtId="1" fontId="31" fillId="19" borderId="24" xfId="0" applyNumberFormat="1" applyFont="1" applyFill="1" applyBorder="1" applyAlignment="1" applyProtection="1">
      <alignment horizontal="center" vertical="center" wrapText="1"/>
      <protection hidden="1"/>
    </xf>
    <xf numFmtId="1" fontId="31" fillId="19" borderId="37" xfId="0" applyNumberFormat="1" applyFont="1" applyFill="1" applyBorder="1" applyAlignment="1" applyProtection="1">
      <alignment horizontal="center" vertical="center" wrapText="1"/>
      <protection hidden="1"/>
    </xf>
    <xf numFmtId="2" fontId="31" fillId="19" borderId="23" xfId="0" applyNumberFormat="1" applyFont="1" applyFill="1" applyBorder="1" applyAlignment="1" applyProtection="1">
      <alignment horizontal="center" vertical="center" wrapText="1"/>
      <protection hidden="1"/>
    </xf>
    <xf numFmtId="2" fontId="31" fillId="19" borderId="35" xfId="0" applyNumberFormat="1" applyFont="1" applyFill="1" applyBorder="1" applyAlignment="1" applyProtection="1">
      <alignment horizontal="center" vertical="center" wrapText="1"/>
      <protection hidden="1"/>
    </xf>
    <xf numFmtId="0" fontId="38" fillId="18" borderId="41" xfId="0" applyFont="1" applyFill="1" applyBorder="1" applyAlignment="1" applyProtection="1">
      <alignment horizontal="left" vertical="center" wrapText="1"/>
      <protection hidden="1"/>
    </xf>
    <xf numFmtId="0" fontId="101" fillId="0" borderId="0" xfId="0" applyFont="1" applyBorder="1" applyAlignment="1" applyProtection="1">
      <alignment horizontal="center" vertical="center" wrapText="1"/>
      <protection locked="0"/>
    </xf>
    <xf numFmtId="165" fontId="96" fillId="35" borderId="72" xfId="18" applyNumberFormat="1" applyFont="1" applyBorder="1" applyAlignment="1" applyProtection="1">
      <alignment horizontal="center" vertical="center" wrapText="1"/>
      <protection hidden="1"/>
    </xf>
    <xf numFmtId="165" fontId="96" fillId="35" borderId="44" xfId="18" applyNumberFormat="1" applyFont="1" applyBorder="1" applyAlignment="1" applyProtection="1">
      <alignment horizontal="center" vertical="center" wrapText="1"/>
      <protection hidden="1"/>
    </xf>
    <xf numFmtId="165" fontId="96" fillId="35" borderId="47" xfId="18" applyNumberFormat="1" applyFont="1" applyBorder="1" applyAlignment="1" applyProtection="1">
      <alignment horizontal="center" vertical="center" wrapText="1"/>
      <protection hidden="1"/>
    </xf>
    <xf numFmtId="166" fontId="96" fillId="35" borderId="41" xfId="18" applyNumberFormat="1" applyFont="1" applyBorder="1" applyAlignment="1" applyProtection="1">
      <alignment horizontal="center" vertical="center" wrapText="1"/>
      <protection hidden="1"/>
    </xf>
    <xf numFmtId="166" fontId="96" fillId="35" borderId="42" xfId="18" applyNumberFormat="1" applyFont="1" applyBorder="1" applyAlignment="1" applyProtection="1">
      <alignment horizontal="center" vertical="center" wrapText="1"/>
      <protection hidden="1"/>
    </xf>
    <xf numFmtId="166" fontId="96" fillId="35" borderId="72" xfId="18" applyNumberFormat="1" applyFont="1" applyBorder="1" applyAlignment="1" applyProtection="1">
      <alignment horizontal="center" vertical="center" wrapText="1"/>
      <protection hidden="1"/>
    </xf>
    <xf numFmtId="166" fontId="96" fillId="35" borderId="44" xfId="18" applyNumberFormat="1" applyFont="1" applyBorder="1" applyAlignment="1" applyProtection="1">
      <alignment horizontal="center" vertical="center" wrapText="1"/>
      <protection hidden="1"/>
    </xf>
    <xf numFmtId="166" fontId="96" fillId="35" borderId="47" xfId="18" applyNumberFormat="1" applyFont="1" applyBorder="1" applyAlignment="1" applyProtection="1">
      <alignment horizontal="center" vertical="center" wrapText="1"/>
      <protection hidden="1"/>
    </xf>
    <xf numFmtId="2" fontId="96" fillId="35" borderId="72" xfId="18" applyNumberFormat="1" applyFont="1" applyBorder="1" applyAlignment="1" applyProtection="1">
      <alignment horizontal="center"/>
      <protection hidden="1"/>
    </xf>
    <xf numFmtId="2" fontId="96" fillId="35" borderId="44" xfId="18" applyNumberFormat="1" applyFont="1" applyBorder="1" applyAlignment="1" applyProtection="1">
      <alignment horizontal="center"/>
      <protection hidden="1"/>
    </xf>
    <xf numFmtId="2" fontId="96" fillId="35" borderId="47" xfId="18" applyNumberFormat="1" applyFont="1" applyBorder="1" applyAlignment="1" applyProtection="1">
      <alignment horizontal="center"/>
      <protection hidden="1"/>
    </xf>
    <xf numFmtId="2" fontId="96" fillId="35" borderId="0" xfId="18" applyNumberFormat="1" applyFont="1" applyAlignment="1" applyProtection="1">
      <alignment horizontal="center"/>
      <protection hidden="1"/>
    </xf>
    <xf numFmtId="0" fontId="41" fillId="14" borderId="72" xfId="1" applyFont="1" applyBorder="1" applyAlignment="1" applyProtection="1">
      <alignment horizontal="left" vertical="center" wrapText="1"/>
      <protection hidden="1"/>
    </xf>
    <xf numFmtId="0" fontId="41" fillId="14" borderId="44" xfId="1" applyFont="1" applyBorder="1" applyAlignment="1" applyProtection="1">
      <alignment horizontal="left" vertical="center" wrapText="1"/>
      <protection hidden="1"/>
    </xf>
    <xf numFmtId="0" fontId="41" fillId="14" borderId="47" xfId="1" applyFont="1" applyBorder="1" applyAlignment="1" applyProtection="1">
      <alignment horizontal="left" vertical="center" wrapText="1"/>
      <protection hidden="1"/>
    </xf>
    <xf numFmtId="1" fontId="31" fillId="19" borderId="44" xfId="0" applyNumberFormat="1" applyFont="1" applyFill="1" applyBorder="1" applyAlignment="1" applyProtection="1">
      <alignment horizontal="center" vertical="center"/>
      <protection hidden="1"/>
    </xf>
    <xf numFmtId="1" fontId="31" fillId="19" borderId="47" xfId="0" applyNumberFormat="1" applyFont="1" applyFill="1" applyBorder="1" applyAlignment="1" applyProtection="1">
      <alignment horizontal="center" vertical="center"/>
      <protection hidden="1"/>
    </xf>
    <xf numFmtId="1" fontId="68" fillId="20" borderId="21" xfId="0" applyNumberFormat="1" applyFont="1" applyFill="1" applyBorder="1" applyAlignment="1" applyProtection="1">
      <alignment horizontal="center" vertical="center" wrapText="1"/>
      <protection locked="0"/>
    </xf>
    <xf numFmtId="1" fontId="68" fillId="20" borderId="0" xfId="0" applyNumberFormat="1" applyFont="1" applyFill="1" applyBorder="1" applyAlignment="1" applyProtection="1">
      <alignment horizontal="center" vertical="center" wrapText="1"/>
      <protection locked="0"/>
    </xf>
    <xf numFmtId="1" fontId="68" fillId="20" borderId="7" xfId="0" applyNumberFormat="1" applyFont="1" applyFill="1" applyBorder="1" applyAlignment="1" applyProtection="1">
      <alignment horizontal="center" vertical="center" wrapText="1"/>
      <protection locked="0"/>
    </xf>
    <xf numFmtId="0" fontId="41" fillId="14" borderId="103" xfId="1" applyFont="1" applyBorder="1" applyAlignment="1" applyProtection="1">
      <alignment horizontal="left" vertical="center" wrapText="1"/>
      <protection hidden="1"/>
    </xf>
    <xf numFmtId="0" fontId="41" fillId="14" borderId="4" xfId="1" applyFont="1" applyBorder="1" applyAlignment="1" applyProtection="1">
      <alignment horizontal="left" vertical="center" wrapText="1"/>
      <protection hidden="1"/>
    </xf>
    <xf numFmtId="0" fontId="41" fillId="14" borderId="5" xfId="1" applyFont="1" applyBorder="1" applyAlignment="1" applyProtection="1">
      <alignment horizontal="left" vertical="center" wrapText="1"/>
      <protection hidden="1"/>
    </xf>
    <xf numFmtId="0" fontId="41" fillId="14" borderId="43" xfId="1" applyFont="1" applyBorder="1" applyAlignment="1" applyProtection="1">
      <alignment horizontal="left" vertical="center" wrapText="1"/>
      <protection hidden="1"/>
    </xf>
    <xf numFmtId="0" fontId="41" fillId="14" borderId="40" xfId="1" applyFont="1" applyBorder="1" applyAlignment="1" applyProtection="1">
      <alignment horizontal="left" vertical="center" wrapText="1"/>
      <protection hidden="1"/>
    </xf>
    <xf numFmtId="168" fontId="31" fillId="19" borderId="72" xfId="0" applyNumberFormat="1" applyFont="1" applyFill="1" applyBorder="1" applyAlignment="1" applyProtection="1">
      <alignment horizontal="center" vertical="center"/>
      <protection locked="0"/>
    </xf>
    <xf numFmtId="168" fontId="31" fillId="19" borderId="44" xfId="0" applyNumberFormat="1" applyFont="1" applyFill="1" applyBorder="1" applyAlignment="1" applyProtection="1">
      <alignment horizontal="center" vertical="center"/>
      <protection locked="0"/>
    </xf>
    <xf numFmtId="168" fontId="31" fillId="19" borderId="47" xfId="0" applyNumberFormat="1" applyFont="1" applyFill="1" applyBorder="1" applyAlignment="1" applyProtection="1">
      <alignment horizontal="center" vertical="center"/>
      <protection locked="0"/>
    </xf>
    <xf numFmtId="0" fontId="41" fillId="25" borderId="0" xfId="8" applyFont="1" applyAlignment="1" applyProtection="1">
      <alignment horizontal="center" vertical="center"/>
      <protection hidden="1"/>
    </xf>
    <xf numFmtId="0" fontId="96" fillId="35" borderId="0" xfId="18" applyFont="1" applyAlignment="1" applyProtection="1">
      <alignment horizontal="center" vertical="center" wrapText="1"/>
      <protection hidden="1"/>
    </xf>
    <xf numFmtId="0" fontId="38" fillId="18" borderId="49" xfId="0" applyFont="1" applyFill="1" applyBorder="1" applyAlignment="1" applyProtection="1">
      <alignment horizontal="left" vertical="center" wrapText="1"/>
      <protection hidden="1"/>
    </xf>
    <xf numFmtId="0" fontId="38" fillId="18" borderId="50" xfId="0" applyFont="1" applyFill="1" applyBorder="1" applyAlignment="1" applyProtection="1">
      <alignment horizontal="left" vertical="center" wrapText="1"/>
      <protection hidden="1"/>
    </xf>
    <xf numFmtId="0" fontId="109" fillId="35" borderId="6" xfId="18" applyFont="1" applyBorder="1" applyAlignment="1" applyProtection="1">
      <alignment horizontal="center" vertical="center"/>
      <protection hidden="1"/>
    </xf>
    <xf numFmtId="0" fontId="109" fillId="35" borderId="0" xfId="18" applyFont="1" applyBorder="1" applyAlignment="1" applyProtection="1">
      <alignment horizontal="center" vertical="center"/>
      <protection hidden="1"/>
    </xf>
    <xf numFmtId="0" fontId="41" fillId="36" borderId="4" xfId="0" applyFont="1" applyFill="1" applyBorder="1" applyAlignment="1" applyProtection="1">
      <alignment horizontal="left" vertical="center" wrapText="1" readingOrder="1"/>
      <protection hidden="1"/>
    </xf>
    <xf numFmtId="0" fontId="41" fillId="36" borderId="5" xfId="0" applyFont="1" applyFill="1" applyBorder="1" applyAlignment="1" applyProtection="1">
      <alignment horizontal="left" vertical="center" wrapText="1" readingOrder="1"/>
      <protection hidden="1"/>
    </xf>
    <xf numFmtId="0" fontId="41" fillId="36" borderId="43" xfId="0" applyFont="1" applyFill="1" applyBorder="1" applyAlignment="1" applyProtection="1">
      <alignment horizontal="left" vertical="center" wrapText="1" readingOrder="1"/>
      <protection hidden="1"/>
    </xf>
    <xf numFmtId="0" fontId="41" fillId="36" borderId="40" xfId="0" applyFont="1" applyFill="1" applyBorder="1" applyAlignment="1" applyProtection="1">
      <alignment horizontal="left" vertical="center" wrapText="1" readingOrder="1"/>
      <protection hidden="1"/>
    </xf>
    <xf numFmtId="0" fontId="41" fillId="36" borderId="41" xfId="0" applyFont="1" applyFill="1" applyBorder="1" applyAlignment="1" applyProtection="1">
      <alignment horizontal="left" vertical="center" wrapText="1" readingOrder="1"/>
      <protection hidden="1"/>
    </xf>
    <xf numFmtId="0" fontId="41" fillId="36" borderId="42" xfId="0" applyFont="1" applyFill="1" applyBorder="1" applyAlignment="1" applyProtection="1">
      <alignment horizontal="left" vertical="center" wrapText="1" readingOrder="1"/>
      <protection hidden="1"/>
    </xf>
    <xf numFmtId="0" fontId="22" fillId="20" borderId="4" xfId="0" applyFont="1" applyFill="1" applyBorder="1" applyAlignment="1" applyProtection="1">
      <alignment horizontal="center" vertical="center" wrapText="1" readingOrder="1"/>
      <protection locked="0"/>
    </xf>
    <xf numFmtId="0" fontId="22" fillId="20" borderId="43" xfId="0" applyFont="1" applyFill="1" applyBorder="1" applyAlignment="1" applyProtection="1">
      <alignment horizontal="center" vertical="center" wrapText="1" readingOrder="1"/>
      <protection locked="0"/>
    </xf>
    <xf numFmtId="0" fontId="22" fillId="20" borderId="6" xfId="0" applyFont="1" applyFill="1" applyBorder="1" applyAlignment="1" applyProtection="1">
      <alignment horizontal="center" vertical="center" wrapText="1" readingOrder="1"/>
      <protection locked="0"/>
    </xf>
    <xf numFmtId="0" fontId="22" fillId="20" borderId="7" xfId="0" applyFont="1" applyFill="1" applyBorder="1" applyAlignment="1" applyProtection="1">
      <alignment horizontal="center" vertical="center" wrapText="1" readingOrder="1"/>
      <protection locked="0"/>
    </xf>
    <xf numFmtId="0" fontId="38" fillId="19" borderId="72" xfId="0" applyFont="1" applyFill="1" applyBorder="1" applyAlignment="1" applyProtection="1">
      <alignment horizontal="center" vertical="center" wrapText="1"/>
      <protection hidden="1"/>
    </xf>
    <xf numFmtId="0" fontId="38" fillId="19" borderId="47" xfId="0" applyFont="1" applyFill="1" applyBorder="1" applyAlignment="1" applyProtection="1">
      <alignment horizontal="center" vertical="center" wrapText="1"/>
      <protection hidden="1"/>
    </xf>
    <xf numFmtId="0" fontId="22" fillId="20" borderId="72" xfId="0" applyFont="1" applyFill="1" applyBorder="1" applyAlignment="1" applyProtection="1">
      <alignment horizontal="center" vertical="center" wrapText="1" readingOrder="1"/>
      <protection locked="0"/>
    </xf>
    <xf numFmtId="0" fontId="22" fillId="20" borderId="47" xfId="0" applyFont="1" applyFill="1" applyBorder="1" applyAlignment="1" applyProtection="1">
      <alignment horizontal="center" vertical="center" wrapText="1" readingOrder="1"/>
      <protection locked="0"/>
    </xf>
    <xf numFmtId="0" fontId="50" fillId="26" borderId="72" xfId="9" applyBorder="1" applyAlignment="1" applyProtection="1">
      <alignment horizontal="center" vertical="center"/>
      <protection locked="0"/>
    </xf>
    <xf numFmtId="0" fontId="50" fillId="26" borderId="47" xfId="9" applyBorder="1" applyAlignment="1" applyProtection="1">
      <alignment horizontal="center" vertical="center"/>
      <protection locked="0"/>
    </xf>
    <xf numFmtId="0" fontId="50" fillId="26" borderId="44" xfId="9" applyBorder="1" applyAlignment="1" applyProtection="1">
      <alignment horizontal="center" vertical="center"/>
      <protection locked="0"/>
    </xf>
    <xf numFmtId="0" fontId="0" fillId="0" borderId="0" xfId="0" applyBorder="1" applyAlignment="1" applyProtection="1">
      <alignment horizontal="center"/>
      <protection locked="0"/>
    </xf>
    <xf numFmtId="0" fontId="38" fillId="19" borderId="5" xfId="0" applyFont="1" applyFill="1" applyBorder="1" applyAlignment="1" applyProtection="1">
      <alignment horizontal="center" vertical="center" wrapText="1"/>
      <protection hidden="1"/>
    </xf>
    <xf numFmtId="0" fontId="38" fillId="19" borderId="0" xfId="0" applyFont="1" applyFill="1" applyBorder="1" applyAlignment="1" applyProtection="1">
      <alignment horizontal="center" vertical="center" wrapText="1"/>
      <protection hidden="1"/>
    </xf>
    <xf numFmtId="0" fontId="2" fillId="30" borderId="0" xfId="13" applyFont="1" applyBorder="1" applyAlignment="1" applyProtection="1">
      <alignment horizontal="center" vertical="center" wrapText="1"/>
      <protection locked="0"/>
    </xf>
    <xf numFmtId="0" fontId="2" fillId="30" borderId="41" xfId="13" applyFont="1" applyBorder="1" applyAlignment="1" applyProtection="1">
      <alignment horizontal="center" vertical="center" wrapText="1"/>
      <protection locked="0"/>
    </xf>
    <xf numFmtId="0" fontId="38" fillId="18" borderId="72" xfId="0" applyFont="1" applyFill="1" applyBorder="1" applyAlignment="1" applyProtection="1">
      <alignment horizontal="left" vertical="center"/>
      <protection hidden="1"/>
    </xf>
    <xf numFmtId="0" fontId="38" fillId="18" borderId="44" xfId="0" applyFont="1" applyFill="1" applyBorder="1" applyAlignment="1" applyProtection="1">
      <alignment horizontal="left" vertical="center"/>
      <protection hidden="1"/>
    </xf>
    <xf numFmtId="0" fontId="41" fillId="36" borderId="92" xfId="0" applyFont="1" applyFill="1" applyBorder="1" applyAlignment="1" applyProtection="1">
      <alignment horizontal="left" vertical="center" wrapText="1" readingOrder="1"/>
      <protection hidden="1"/>
    </xf>
    <xf numFmtId="0" fontId="41" fillId="36" borderId="44" xfId="0" applyFont="1" applyFill="1" applyBorder="1" applyAlignment="1" applyProtection="1">
      <alignment horizontal="left" vertical="center" wrapText="1" readingOrder="1"/>
      <protection hidden="1"/>
    </xf>
    <xf numFmtId="0" fontId="41" fillId="36" borderId="47" xfId="0" applyFont="1" applyFill="1" applyBorder="1" applyAlignment="1" applyProtection="1">
      <alignment horizontal="left" vertical="center" wrapText="1" readingOrder="1"/>
      <protection hidden="1"/>
    </xf>
    <xf numFmtId="0" fontId="41" fillId="36" borderId="72" xfId="0" applyFont="1" applyFill="1" applyBorder="1" applyAlignment="1" applyProtection="1">
      <alignment horizontal="left" vertical="center" wrapText="1" readingOrder="1"/>
      <protection hidden="1"/>
    </xf>
    <xf numFmtId="14" fontId="22" fillId="20" borderId="72" xfId="0" applyNumberFormat="1" applyFont="1" applyFill="1" applyBorder="1" applyAlignment="1" applyProtection="1">
      <alignment horizontal="center" vertical="center" wrapText="1" readingOrder="1"/>
      <protection locked="0"/>
    </xf>
    <xf numFmtId="14" fontId="22" fillId="20" borderId="47" xfId="0" applyNumberFormat="1" applyFont="1" applyFill="1" applyBorder="1" applyAlignment="1" applyProtection="1">
      <alignment horizontal="center" vertical="center" wrapText="1" readingOrder="1"/>
      <protection locked="0"/>
    </xf>
    <xf numFmtId="2" fontId="37" fillId="19" borderId="34" xfId="0" applyNumberFormat="1" applyFont="1" applyFill="1" applyBorder="1" applyAlignment="1" applyProtection="1">
      <alignment horizontal="center" vertical="center" wrapText="1"/>
      <protection hidden="1"/>
    </xf>
    <xf numFmtId="2" fontId="37" fillId="19" borderId="23" xfId="0" applyNumberFormat="1" applyFont="1" applyFill="1" applyBorder="1" applyAlignment="1" applyProtection="1">
      <alignment horizontal="center" vertical="center" wrapText="1"/>
      <protection hidden="1"/>
    </xf>
    <xf numFmtId="2" fontId="37" fillId="19" borderId="19" xfId="0" applyNumberFormat="1" applyFont="1" applyFill="1" applyBorder="1" applyAlignment="1" applyProtection="1">
      <alignment horizontal="center" vertical="center" wrapText="1"/>
      <protection hidden="1"/>
    </xf>
    <xf numFmtId="0" fontId="38" fillId="18" borderId="4" xfId="0" applyFont="1" applyFill="1" applyBorder="1" applyAlignment="1" applyProtection="1">
      <alignment horizontal="center" vertical="center" wrapText="1"/>
      <protection hidden="1"/>
    </xf>
    <xf numFmtId="0" fontId="38" fillId="18" borderId="5" xfId="0" applyFont="1" applyFill="1" applyBorder="1" applyAlignment="1" applyProtection="1">
      <alignment horizontal="center" vertical="center" wrapText="1"/>
      <protection hidden="1"/>
    </xf>
    <xf numFmtId="0" fontId="38" fillId="18" borderId="43" xfId="0" applyFont="1" applyFill="1" applyBorder="1" applyAlignment="1" applyProtection="1">
      <alignment horizontal="center" vertical="center" wrapText="1"/>
      <protection hidden="1"/>
    </xf>
    <xf numFmtId="2" fontId="31" fillId="19" borderId="72" xfId="0" applyNumberFormat="1" applyFont="1" applyFill="1" applyBorder="1" applyAlignment="1" applyProtection="1">
      <alignment horizontal="center" vertical="center"/>
      <protection hidden="1"/>
    </xf>
    <xf numFmtId="2" fontId="31" fillId="19" borderId="44" xfId="0" applyNumberFormat="1" applyFont="1" applyFill="1" applyBorder="1" applyAlignment="1" applyProtection="1">
      <alignment horizontal="center" vertical="center"/>
      <protection hidden="1"/>
    </xf>
    <xf numFmtId="2" fontId="31" fillId="19" borderId="47" xfId="0" applyNumberFormat="1" applyFont="1" applyFill="1" applyBorder="1" applyAlignment="1" applyProtection="1">
      <alignment horizontal="center" vertical="center"/>
      <protection hidden="1"/>
    </xf>
    <xf numFmtId="166" fontId="68" fillId="19" borderId="72" xfId="0" applyNumberFormat="1" applyFont="1" applyFill="1" applyBorder="1" applyAlignment="1" applyProtection="1">
      <alignment horizontal="center" vertical="center" wrapText="1"/>
      <protection hidden="1"/>
    </xf>
    <xf numFmtId="166" fontId="68" fillId="19" borderId="44" xfId="0" applyNumberFormat="1" applyFont="1" applyFill="1" applyBorder="1" applyAlignment="1" applyProtection="1">
      <alignment horizontal="center" vertical="center" wrapText="1"/>
      <protection hidden="1"/>
    </xf>
    <xf numFmtId="166" fontId="68" fillId="19" borderId="47" xfId="0" applyNumberFormat="1" applyFont="1" applyFill="1" applyBorder="1" applyAlignment="1" applyProtection="1">
      <alignment horizontal="center" vertical="center" wrapText="1"/>
      <protection hidden="1"/>
    </xf>
    <xf numFmtId="2" fontId="37" fillId="19" borderId="0" xfId="0" applyNumberFormat="1" applyFont="1" applyFill="1" applyBorder="1" applyAlignment="1" applyProtection="1">
      <alignment horizontal="center" vertical="center" wrapText="1"/>
      <protection hidden="1"/>
    </xf>
    <xf numFmtId="2" fontId="52" fillId="19" borderId="0" xfId="0" applyNumberFormat="1" applyFont="1" applyFill="1" applyBorder="1" applyAlignment="1" applyProtection="1">
      <alignment horizontal="center" vertical="center" wrapText="1"/>
      <protection hidden="1"/>
    </xf>
    <xf numFmtId="2" fontId="52" fillId="19" borderId="7" xfId="0" applyNumberFormat="1" applyFont="1" applyFill="1" applyBorder="1" applyAlignment="1" applyProtection="1">
      <alignment horizontal="center" vertical="center" wrapText="1"/>
      <protection hidden="1"/>
    </xf>
    <xf numFmtId="2" fontId="68" fillId="19" borderId="0" xfId="0" applyNumberFormat="1" applyFont="1" applyFill="1" applyBorder="1" applyAlignment="1" applyProtection="1">
      <alignment horizontal="center" vertical="center" wrapText="1"/>
      <protection hidden="1"/>
    </xf>
    <xf numFmtId="2" fontId="68" fillId="19" borderId="7" xfId="0" applyNumberFormat="1" applyFont="1" applyFill="1" applyBorder="1" applyAlignment="1" applyProtection="1">
      <alignment horizontal="center" vertical="center" wrapText="1"/>
      <protection hidden="1"/>
    </xf>
    <xf numFmtId="2" fontId="31" fillId="19" borderId="100" xfId="0" applyNumberFormat="1" applyFont="1" applyFill="1" applyBorder="1" applyAlignment="1" applyProtection="1">
      <alignment horizontal="center" vertical="center"/>
      <protection hidden="1"/>
    </xf>
    <xf numFmtId="2" fontId="31" fillId="18" borderId="72" xfId="0" applyNumberFormat="1" applyFont="1" applyFill="1" applyBorder="1" applyAlignment="1" applyProtection="1">
      <alignment horizontal="center" vertical="center" wrapText="1"/>
      <protection hidden="1"/>
    </xf>
    <xf numFmtId="2" fontId="31" fillId="18" borderId="44" xfId="0" applyNumberFormat="1" applyFont="1" applyFill="1" applyBorder="1" applyAlignment="1" applyProtection="1">
      <alignment horizontal="center" vertical="center" wrapText="1"/>
      <protection hidden="1"/>
    </xf>
    <xf numFmtId="2" fontId="31" fillId="18" borderId="47" xfId="0" applyNumberFormat="1" applyFont="1" applyFill="1" applyBorder="1" applyAlignment="1" applyProtection="1">
      <alignment horizontal="center" vertical="center" wrapText="1"/>
      <protection hidden="1"/>
    </xf>
    <xf numFmtId="0" fontId="38" fillId="18" borderId="77" xfId="0" applyFont="1" applyFill="1" applyBorder="1" applyAlignment="1" applyProtection="1">
      <alignment horizontal="left" vertical="center" wrapText="1"/>
      <protection hidden="1"/>
    </xf>
    <xf numFmtId="0" fontId="41" fillId="26" borderId="28" xfId="9" applyFont="1" applyBorder="1" applyAlignment="1" applyProtection="1">
      <alignment horizontal="center" vertical="center" wrapText="1"/>
      <protection hidden="1"/>
    </xf>
    <xf numFmtId="0" fontId="41" fillId="26" borderId="24" xfId="9" applyFont="1" applyBorder="1" applyAlignment="1" applyProtection="1">
      <alignment horizontal="center" vertical="center" wrapText="1"/>
      <protection hidden="1"/>
    </xf>
    <xf numFmtId="0" fontId="15" fillId="0" borderId="0" xfId="0" applyFont="1" applyBorder="1" applyAlignment="1" applyProtection="1">
      <alignment horizontal="center"/>
      <protection hidden="1"/>
    </xf>
    <xf numFmtId="0" fontId="15" fillId="0" borderId="24" xfId="0" applyFont="1" applyBorder="1" applyAlignment="1" applyProtection="1">
      <alignment horizontal="center"/>
      <protection hidden="1"/>
    </xf>
    <xf numFmtId="0" fontId="0" fillId="19" borderId="59" xfId="0" applyFill="1" applyBorder="1" applyAlignment="1" applyProtection="1">
      <alignment horizontal="center"/>
      <protection locked="0"/>
    </xf>
    <xf numFmtId="0" fontId="0" fillId="19" borderId="93" xfId="0" applyFill="1" applyBorder="1" applyAlignment="1" applyProtection="1">
      <alignment horizontal="center"/>
      <protection locked="0"/>
    </xf>
    <xf numFmtId="0" fontId="0" fillId="19" borderId="60" xfId="0" applyFill="1" applyBorder="1" applyAlignment="1" applyProtection="1">
      <alignment horizontal="center"/>
      <protection locked="0"/>
    </xf>
    <xf numFmtId="0" fontId="0" fillId="19" borderId="82" xfId="0" applyFill="1" applyBorder="1" applyAlignment="1" applyProtection="1">
      <alignment horizontal="center"/>
      <protection locked="0"/>
    </xf>
    <xf numFmtId="0" fontId="0" fillId="19" borderId="61" xfId="0" applyFill="1" applyBorder="1" applyAlignment="1" applyProtection="1">
      <alignment horizontal="center"/>
      <protection locked="0"/>
    </xf>
    <xf numFmtId="0" fontId="0" fillId="19" borderId="94" xfId="0" applyFill="1" applyBorder="1" applyAlignment="1" applyProtection="1">
      <alignment horizontal="center"/>
      <protection locked="0"/>
    </xf>
    <xf numFmtId="0" fontId="60" fillId="18" borderId="24" xfId="0" applyFont="1" applyFill="1" applyBorder="1" applyAlignment="1" applyProtection="1">
      <alignment horizontal="center" vertical="center" wrapText="1"/>
      <protection hidden="1"/>
    </xf>
    <xf numFmtId="0" fontId="60" fillId="18" borderId="0" xfId="0" applyFont="1" applyFill="1" applyBorder="1" applyAlignment="1" applyProtection="1">
      <alignment horizontal="center" vertical="center" wrapText="1"/>
      <protection hidden="1"/>
    </xf>
    <xf numFmtId="0" fontId="60" fillId="18" borderId="41" xfId="0" applyFont="1" applyFill="1" applyBorder="1" applyAlignment="1" applyProtection="1">
      <alignment horizontal="center" vertical="center" wrapText="1"/>
      <protection hidden="1"/>
    </xf>
    <xf numFmtId="0" fontId="31" fillId="18" borderId="97" xfId="0" applyFont="1" applyFill="1" applyBorder="1" applyAlignment="1" applyProtection="1">
      <alignment horizontal="left" vertical="center" wrapText="1"/>
      <protection hidden="1"/>
    </xf>
    <xf numFmtId="0" fontId="31" fillId="18" borderId="98" xfId="0" applyFont="1" applyFill="1" applyBorder="1" applyAlignment="1" applyProtection="1">
      <alignment horizontal="left" vertical="center" wrapText="1"/>
      <protection hidden="1"/>
    </xf>
    <xf numFmtId="0" fontId="38" fillId="19" borderId="0" xfId="0" applyFont="1" applyFill="1" applyBorder="1" applyAlignment="1" applyProtection="1">
      <alignment horizontal="center" vertical="center" wrapText="1"/>
      <protection locked="0"/>
    </xf>
    <xf numFmtId="0" fontId="31" fillId="18" borderId="96" xfId="0" applyFont="1" applyFill="1" applyBorder="1" applyAlignment="1" applyProtection="1">
      <alignment horizontal="left" vertical="center" wrapText="1"/>
      <protection hidden="1"/>
    </xf>
    <xf numFmtId="164" fontId="38" fillId="19" borderId="72" xfId="0" applyNumberFormat="1" applyFont="1" applyFill="1" applyBorder="1" applyAlignment="1" applyProtection="1">
      <alignment horizontal="center" vertical="center" wrapText="1"/>
      <protection locked="0"/>
    </xf>
    <xf numFmtId="164" fontId="38" fillId="19" borderId="44" xfId="0" applyNumberFormat="1" applyFont="1" applyFill="1" applyBorder="1" applyAlignment="1" applyProtection="1">
      <alignment horizontal="center" vertical="center" wrapText="1"/>
      <protection locked="0"/>
    </xf>
    <xf numFmtId="164" fontId="38" fillId="19" borderId="47" xfId="0" applyNumberFormat="1" applyFont="1" applyFill="1" applyBorder="1" applyAlignment="1" applyProtection="1">
      <alignment horizontal="center" vertical="center" wrapText="1"/>
      <protection locked="0"/>
    </xf>
    <xf numFmtId="0" fontId="38" fillId="19" borderId="72" xfId="0" applyFont="1" applyFill="1" applyBorder="1" applyAlignment="1" applyProtection="1">
      <alignment horizontal="center" vertical="center" wrapText="1"/>
      <protection locked="0"/>
    </xf>
    <xf numFmtId="0" fontId="38" fillId="19" borderId="44" xfId="0" applyFont="1" applyFill="1" applyBorder="1" applyAlignment="1" applyProtection="1">
      <alignment horizontal="center" vertical="center" wrapText="1"/>
      <protection locked="0"/>
    </xf>
    <xf numFmtId="0" fontId="38" fillId="19" borderId="47" xfId="0" applyFont="1" applyFill="1" applyBorder="1" applyAlignment="1" applyProtection="1">
      <alignment horizontal="center" vertical="center" wrapText="1"/>
      <protection locked="0"/>
    </xf>
    <xf numFmtId="14" fontId="38" fillId="19" borderId="72" xfId="0" applyNumberFormat="1" applyFont="1" applyFill="1" applyBorder="1" applyAlignment="1" applyProtection="1">
      <alignment horizontal="center" vertical="center" wrapText="1"/>
      <protection locked="0"/>
    </xf>
    <xf numFmtId="14" fontId="38" fillId="19" borderId="44" xfId="0" applyNumberFormat="1" applyFont="1" applyFill="1" applyBorder="1" applyAlignment="1" applyProtection="1">
      <alignment horizontal="center" vertical="center" wrapText="1"/>
      <protection locked="0"/>
    </xf>
    <xf numFmtId="14" fontId="38" fillId="19" borderId="47" xfId="0" applyNumberFormat="1" applyFont="1" applyFill="1" applyBorder="1" applyAlignment="1" applyProtection="1">
      <alignment horizontal="center" vertical="center" wrapText="1"/>
      <protection locked="0"/>
    </xf>
    <xf numFmtId="0" fontId="77" fillId="36" borderId="0" xfId="0" applyFont="1" applyFill="1" applyAlignment="1" applyProtection="1">
      <alignment horizontal="center" vertical="center"/>
      <protection hidden="1"/>
    </xf>
    <xf numFmtId="0" fontId="77" fillId="36" borderId="7" xfId="0" applyFont="1" applyFill="1" applyBorder="1" applyAlignment="1" applyProtection="1">
      <alignment horizontal="center" vertical="center"/>
      <protection hidden="1"/>
    </xf>
    <xf numFmtId="167" fontId="102" fillId="0" borderId="23" xfId="0" applyNumberFormat="1" applyFont="1" applyBorder="1" applyAlignment="1" applyProtection="1">
      <alignment horizontal="center" vertical="center" wrapText="1"/>
      <protection hidden="1"/>
    </xf>
    <xf numFmtId="167" fontId="102" fillId="0" borderId="19" xfId="0" applyNumberFormat="1" applyFont="1" applyBorder="1" applyAlignment="1" applyProtection="1">
      <alignment horizontal="center" vertical="center" wrapText="1"/>
      <protection hidden="1"/>
    </xf>
    <xf numFmtId="0" fontId="41" fillId="24" borderId="72" xfId="7" applyFont="1" applyBorder="1" applyAlignment="1" applyProtection="1">
      <alignment horizontal="left" vertical="center" wrapText="1"/>
      <protection hidden="1"/>
    </xf>
    <xf numFmtId="0" fontId="41" fillId="24" borderId="44" xfId="7" applyFont="1" applyBorder="1" applyAlignment="1" applyProtection="1">
      <alignment horizontal="left" vertical="center" wrapText="1"/>
      <protection hidden="1"/>
    </xf>
    <xf numFmtId="0" fontId="41" fillId="24" borderId="47" xfId="7" applyFont="1" applyBorder="1" applyAlignment="1" applyProtection="1">
      <alignment horizontal="left" vertical="center" wrapText="1"/>
      <protection hidden="1"/>
    </xf>
    <xf numFmtId="0" fontId="38" fillId="18" borderId="5" xfId="0" applyFont="1" applyFill="1" applyBorder="1" applyAlignment="1" applyProtection="1">
      <alignment horizontal="left" vertical="center"/>
      <protection hidden="1"/>
    </xf>
    <xf numFmtId="0" fontId="33" fillId="7" borderId="41" xfId="7" applyFont="1" applyFill="1" applyBorder="1" applyAlignment="1" applyProtection="1">
      <alignment horizontal="center" vertical="center" wrapText="1"/>
      <protection hidden="1"/>
    </xf>
    <xf numFmtId="2" fontId="68" fillId="19" borderId="41" xfId="0" applyNumberFormat="1" applyFont="1" applyFill="1" applyBorder="1" applyAlignment="1" applyProtection="1">
      <alignment horizontal="center" vertical="center"/>
      <protection hidden="1"/>
    </xf>
    <xf numFmtId="2" fontId="68" fillId="19" borderId="77" xfId="0" applyNumberFormat="1" applyFont="1" applyFill="1" applyBorder="1" applyAlignment="1" applyProtection="1">
      <alignment horizontal="center" vertical="center"/>
      <protection hidden="1"/>
    </xf>
    <xf numFmtId="0" fontId="41" fillId="14" borderId="27" xfId="1" applyFont="1" applyBorder="1" applyAlignment="1" applyProtection="1">
      <alignment horizontal="left" vertical="center" wrapText="1"/>
      <protection hidden="1"/>
    </xf>
    <xf numFmtId="0" fontId="41" fillId="14" borderId="24" xfId="1" applyFont="1" applyBorder="1" applyAlignment="1" applyProtection="1">
      <alignment horizontal="left" vertical="center" wrapText="1"/>
      <protection hidden="1"/>
    </xf>
    <xf numFmtId="2" fontId="17" fillId="19" borderId="87" xfId="0" applyNumberFormat="1" applyFont="1" applyFill="1" applyBorder="1" applyAlignment="1" applyProtection="1">
      <alignment horizontal="center" vertical="center"/>
      <protection hidden="1"/>
    </xf>
    <xf numFmtId="2" fontId="17" fillId="19" borderId="80" xfId="0" applyNumberFormat="1" applyFont="1" applyFill="1" applyBorder="1" applyAlignment="1" applyProtection="1">
      <alignment horizontal="center" vertical="center"/>
      <protection hidden="1"/>
    </xf>
    <xf numFmtId="2" fontId="17" fillId="19" borderId="81" xfId="0" applyNumberFormat="1" applyFont="1" applyFill="1" applyBorder="1" applyAlignment="1" applyProtection="1">
      <alignment horizontal="center" vertical="center"/>
      <protection hidden="1"/>
    </xf>
    <xf numFmtId="2" fontId="17" fillId="19" borderId="88" xfId="0" applyNumberFormat="1" applyFont="1" applyFill="1" applyBorder="1" applyAlignment="1" applyProtection="1">
      <alignment horizontal="center" vertical="center"/>
      <protection hidden="1"/>
    </xf>
    <xf numFmtId="2" fontId="17" fillId="19" borderId="2" xfId="0" applyNumberFormat="1" applyFont="1" applyFill="1" applyBorder="1" applyAlignment="1" applyProtection="1">
      <alignment horizontal="center" vertical="center"/>
      <protection hidden="1"/>
    </xf>
    <xf numFmtId="2" fontId="17" fillId="19" borderId="82" xfId="0" applyNumberFormat="1" applyFont="1" applyFill="1" applyBorder="1" applyAlignment="1" applyProtection="1">
      <alignment horizontal="center" vertical="center"/>
      <protection hidden="1"/>
    </xf>
    <xf numFmtId="2" fontId="17" fillId="19" borderId="89" xfId="0" applyNumberFormat="1" applyFont="1" applyFill="1" applyBorder="1" applyAlignment="1" applyProtection="1">
      <alignment horizontal="center" vertical="center"/>
      <protection hidden="1"/>
    </xf>
    <xf numFmtId="2" fontId="17" fillId="19" borderId="84" xfId="0" applyNumberFormat="1" applyFont="1" applyFill="1" applyBorder="1" applyAlignment="1" applyProtection="1">
      <alignment horizontal="center" vertical="center"/>
      <protection hidden="1"/>
    </xf>
    <xf numFmtId="2" fontId="17" fillId="19" borderId="85" xfId="0" applyNumberFormat="1" applyFont="1" applyFill="1" applyBorder="1" applyAlignment="1" applyProtection="1">
      <alignment horizontal="center" vertical="center"/>
      <protection hidden="1"/>
    </xf>
    <xf numFmtId="2" fontId="17" fillId="19" borderId="0" xfId="0" applyNumberFormat="1" applyFont="1" applyFill="1" applyBorder="1" applyAlignment="1" applyProtection="1">
      <alignment horizontal="center" vertical="center"/>
      <protection hidden="1"/>
    </xf>
    <xf numFmtId="2" fontId="17" fillId="19" borderId="18" xfId="0" applyNumberFormat="1" applyFont="1" applyFill="1" applyBorder="1" applyAlignment="1" applyProtection="1">
      <alignment horizontal="center" vertical="center"/>
      <protection hidden="1"/>
    </xf>
    <xf numFmtId="2" fontId="17" fillId="19" borderId="41" xfId="0" applyNumberFormat="1" applyFont="1" applyFill="1" applyBorder="1" applyAlignment="1" applyProtection="1">
      <alignment horizontal="center" vertical="center"/>
      <protection hidden="1"/>
    </xf>
    <xf numFmtId="2" fontId="17" fillId="19" borderId="77" xfId="0" applyNumberFormat="1" applyFont="1" applyFill="1" applyBorder="1" applyAlignment="1" applyProtection="1">
      <alignment horizontal="center" vertical="center"/>
      <protection hidden="1"/>
    </xf>
    <xf numFmtId="0" fontId="57" fillId="3" borderId="79" xfId="0" applyFont="1" applyFill="1" applyBorder="1" applyAlignment="1" applyProtection="1">
      <alignment horizontal="center" vertical="center" wrapText="1" readingOrder="1"/>
      <protection hidden="1"/>
    </xf>
    <xf numFmtId="0" fontId="22" fillId="6" borderId="7" xfId="0" applyFont="1" applyFill="1" applyBorder="1" applyAlignment="1" applyProtection="1">
      <alignment horizontal="center" vertical="center" wrapText="1" readingOrder="1"/>
      <protection hidden="1"/>
    </xf>
    <xf numFmtId="0" fontId="22" fillId="6" borderId="42" xfId="0" applyFont="1" applyFill="1" applyBorder="1" applyAlignment="1" applyProtection="1">
      <alignment horizontal="center" vertical="center" wrapText="1" readingOrder="1"/>
      <protection hidden="1"/>
    </xf>
    <xf numFmtId="0" fontId="50" fillId="14" borderId="0" xfId="1" applyAlignment="1" applyProtection="1">
      <alignment horizontal="center" vertical="center"/>
      <protection locked="0"/>
    </xf>
    <xf numFmtId="0" fontId="50" fillId="14" borderId="0" xfId="1" applyAlignment="1" applyProtection="1">
      <alignment horizontal="center" vertical="center" wrapText="1"/>
      <protection locked="0"/>
    </xf>
    <xf numFmtId="0" fontId="38" fillId="18" borderId="72" xfId="0" applyFont="1" applyFill="1" applyBorder="1" applyAlignment="1" applyProtection="1">
      <alignment horizontal="left" vertical="center" wrapText="1"/>
      <protection hidden="1"/>
    </xf>
    <xf numFmtId="0" fontId="38" fillId="18" borderId="47" xfId="0" applyFont="1" applyFill="1" applyBorder="1" applyAlignment="1" applyProtection="1">
      <alignment horizontal="left" vertical="center" wrapText="1"/>
      <protection hidden="1"/>
    </xf>
    <xf numFmtId="0" fontId="38" fillId="18" borderId="44" xfId="0" applyFont="1" applyFill="1" applyBorder="1" applyAlignment="1" applyProtection="1">
      <alignment horizontal="left" vertical="center" wrapText="1"/>
      <protection hidden="1"/>
    </xf>
    <xf numFmtId="2" fontId="17" fillId="0" borderId="0" xfId="0" applyNumberFormat="1" applyFont="1" applyFill="1" applyBorder="1" applyAlignment="1" applyProtection="1">
      <alignment horizontal="center" vertical="center"/>
      <protection locked="0"/>
    </xf>
    <xf numFmtId="0" fontId="38" fillId="18" borderId="28" xfId="0" applyFont="1" applyFill="1" applyBorder="1" applyAlignment="1" applyProtection="1">
      <alignment horizontal="left" vertical="center" wrapText="1"/>
      <protection hidden="1"/>
    </xf>
    <xf numFmtId="0" fontId="38" fillId="18" borderId="24" xfId="0" applyFont="1" applyFill="1" applyBorder="1" applyAlignment="1" applyProtection="1">
      <alignment horizontal="left" vertical="center" wrapText="1"/>
      <protection hidden="1"/>
    </xf>
    <xf numFmtId="0" fontId="38" fillId="18" borderId="17" xfId="0" applyFont="1" applyFill="1" applyBorder="1" applyAlignment="1" applyProtection="1">
      <alignment horizontal="left" vertical="center" wrapText="1"/>
      <protection hidden="1"/>
    </xf>
    <xf numFmtId="0" fontId="22" fillId="6" borderId="0" xfId="0" applyFont="1" applyFill="1" applyBorder="1" applyAlignment="1" applyProtection="1">
      <alignment horizontal="center" vertical="center" wrapText="1" readingOrder="1"/>
      <protection hidden="1"/>
    </xf>
    <xf numFmtId="0" fontId="38" fillId="18" borderId="47" xfId="0" applyFont="1" applyFill="1" applyBorder="1" applyAlignment="1" applyProtection="1">
      <alignment horizontal="left" vertical="center"/>
      <protection hidden="1"/>
    </xf>
    <xf numFmtId="1" fontId="31" fillId="19" borderId="72" xfId="0" applyNumberFormat="1" applyFont="1" applyFill="1" applyBorder="1" applyAlignment="1" applyProtection="1">
      <alignment horizontal="center" vertical="center"/>
      <protection hidden="1"/>
    </xf>
    <xf numFmtId="49" fontId="108" fillId="25" borderId="72" xfId="8" applyNumberFormat="1" applyFont="1" applyBorder="1" applyAlignment="1" applyProtection="1">
      <alignment horizontal="center" vertical="center" wrapText="1"/>
      <protection hidden="1"/>
    </xf>
    <xf numFmtId="49" fontId="108" fillId="25" borderId="47" xfId="8" applyNumberFormat="1" applyFont="1" applyBorder="1" applyAlignment="1" applyProtection="1">
      <alignment horizontal="center" vertical="center" wrapText="1"/>
      <protection hidden="1"/>
    </xf>
    <xf numFmtId="165" fontId="2" fillId="35" borderId="72" xfId="18" applyNumberFormat="1" applyBorder="1" applyAlignment="1" applyProtection="1">
      <alignment horizontal="center" vertical="center"/>
      <protection hidden="1"/>
    </xf>
    <xf numFmtId="165" fontId="2" fillId="35" borderId="47" xfId="18" applyNumberFormat="1" applyBorder="1" applyAlignment="1" applyProtection="1">
      <alignment horizontal="center" vertical="center"/>
      <protection hidden="1"/>
    </xf>
    <xf numFmtId="165" fontId="2" fillId="35" borderId="40" xfId="18" applyNumberFormat="1" applyBorder="1" applyAlignment="1" applyProtection="1">
      <alignment horizontal="center" vertical="center"/>
      <protection hidden="1"/>
    </xf>
    <xf numFmtId="165" fontId="2" fillId="35" borderId="42" xfId="18" applyNumberFormat="1" applyBorder="1" applyAlignment="1" applyProtection="1">
      <alignment horizontal="center" vertical="center"/>
      <protection hidden="1"/>
    </xf>
    <xf numFmtId="165" fontId="68" fillId="19" borderId="44" xfId="0" applyNumberFormat="1" applyFont="1" applyFill="1" applyBorder="1" applyAlignment="1" applyProtection="1">
      <alignment horizontal="center" vertical="center"/>
      <protection hidden="1"/>
    </xf>
    <xf numFmtId="165" fontId="68" fillId="19" borderId="47" xfId="0" applyNumberFormat="1" applyFont="1" applyFill="1" applyBorder="1" applyAlignment="1" applyProtection="1">
      <alignment horizontal="center" vertical="center"/>
      <protection hidden="1"/>
    </xf>
    <xf numFmtId="49" fontId="50" fillId="25" borderId="4" xfId="8" applyNumberFormat="1" applyBorder="1" applyAlignment="1" applyProtection="1">
      <alignment horizontal="center" vertical="center" wrapText="1"/>
      <protection hidden="1"/>
    </xf>
    <xf numFmtId="49" fontId="50" fillId="25" borderId="43" xfId="8" applyNumberFormat="1" applyBorder="1" applyAlignment="1" applyProtection="1">
      <alignment horizontal="center" vertical="center" wrapText="1"/>
      <protection hidden="1"/>
    </xf>
    <xf numFmtId="49" fontId="50" fillId="25" borderId="6" xfId="8" applyNumberFormat="1" applyBorder="1" applyAlignment="1" applyProtection="1">
      <alignment horizontal="center" vertical="center" wrapText="1"/>
      <protection hidden="1"/>
    </xf>
    <xf numFmtId="49" fontId="50" fillId="25" borderId="7" xfId="8" applyNumberFormat="1" applyBorder="1" applyAlignment="1" applyProtection="1">
      <alignment horizontal="center" vertical="center" wrapText="1"/>
      <protection hidden="1"/>
    </xf>
    <xf numFmtId="49" fontId="50" fillId="25" borderId="40" xfId="8" applyNumberFormat="1" applyBorder="1" applyAlignment="1" applyProtection="1">
      <alignment horizontal="center" vertical="center" wrapText="1"/>
      <protection hidden="1"/>
    </xf>
    <xf numFmtId="49" fontId="50" fillId="25" borderId="42" xfId="8" applyNumberFormat="1" applyBorder="1" applyAlignment="1" applyProtection="1">
      <alignment horizontal="center" vertical="center" wrapText="1"/>
      <protection hidden="1"/>
    </xf>
    <xf numFmtId="0" fontId="96" fillId="35" borderId="0" xfId="18" applyFont="1" applyBorder="1" applyAlignment="1" applyProtection="1">
      <alignment horizontal="center"/>
      <protection hidden="1"/>
    </xf>
    <xf numFmtId="0" fontId="96" fillId="35" borderId="6" xfId="18" applyFont="1" applyBorder="1" applyAlignment="1" applyProtection="1">
      <alignment horizontal="center" vertical="center"/>
      <protection hidden="1"/>
    </xf>
    <xf numFmtId="0" fontId="96" fillId="35" borderId="0" xfId="18" applyFont="1" applyBorder="1" applyAlignment="1" applyProtection="1">
      <alignment horizontal="center" vertical="center"/>
      <protection hidden="1"/>
    </xf>
    <xf numFmtId="0" fontId="22" fillId="20" borderId="5" xfId="0" applyFont="1" applyFill="1" applyBorder="1" applyAlignment="1" applyProtection="1">
      <alignment horizontal="center" vertical="center" wrapText="1" readingOrder="1"/>
      <protection locked="0"/>
    </xf>
    <xf numFmtId="0" fontId="22" fillId="20" borderId="44" xfId="0" applyFont="1" applyFill="1" applyBorder="1" applyAlignment="1" applyProtection="1">
      <alignment horizontal="center" vertical="center" wrapText="1" readingOrder="1"/>
      <protection locked="0"/>
    </xf>
    <xf numFmtId="0" fontId="57" fillId="3" borderId="4" xfId="0" applyFont="1" applyFill="1" applyBorder="1" applyAlignment="1" applyProtection="1">
      <alignment horizontal="center" vertical="center" wrapText="1" readingOrder="1"/>
      <protection hidden="1"/>
    </xf>
    <xf numFmtId="0" fontId="57" fillId="3" borderId="5" xfId="0" applyFont="1" applyFill="1" applyBorder="1" applyAlignment="1" applyProtection="1">
      <alignment horizontal="center" vertical="center" wrapText="1" readingOrder="1"/>
      <protection hidden="1"/>
    </xf>
    <xf numFmtId="0" fontId="57" fillId="3" borderId="43" xfId="0" applyFont="1" applyFill="1" applyBorder="1" applyAlignment="1" applyProtection="1">
      <alignment horizontal="center" vertical="center" wrapText="1" readingOrder="1"/>
      <protection hidden="1"/>
    </xf>
    <xf numFmtId="0" fontId="57" fillId="3" borderId="40" xfId="0" applyFont="1" applyFill="1" applyBorder="1" applyAlignment="1" applyProtection="1">
      <alignment horizontal="center" vertical="center" wrapText="1" readingOrder="1"/>
      <protection hidden="1"/>
    </xf>
    <xf numFmtId="0" fontId="57" fillId="3" borderId="41" xfId="0" applyFont="1" applyFill="1" applyBorder="1" applyAlignment="1" applyProtection="1">
      <alignment horizontal="center" vertical="center" wrapText="1" readingOrder="1"/>
      <protection hidden="1"/>
    </xf>
    <xf numFmtId="0" fontId="57" fillId="3" borderId="42" xfId="0" applyFont="1" applyFill="1" applyBorder="1" applyAlignment="1" applyProtection="1">
      <alignment horizontal="center" vertical="center" wrapText="1" readingOrder="1"/>
      <protection hidden="1"/>
    </xf>
    <xf numFmtId="2" fontId="37" fillId="19" borderId="4" xfId="0" applyNumberFormat="1" applyFont="1" applyFill="1" applyBorder="1" applyAlignment="1" applyProtection="1">
      <alignment horizontal="center" wrapText="1"/>
      <protection hidden="1"/>
    </xf>
    <xf numFmtId="2" fontId="37" fillId="19" borderId="5" xfId="0" applyNumberFormat="1" applyFont="1" applyFill="1" applyBorder="1" applyAlignment="1" applyProtection="1">
      <alignment horizontal="center" wrapText="1"/>
      <protection hidden="1"/>
    </xf>
    <xf numFmtId="2" fontId="37" fillId="19" borderId="78" xfId="0" applyNumberFormat="1" applyFont="1" applyFill="1" applyBorder="1" applyAlignment="1" applyProtection="1">
      <alignment horizontal="center" wrapText="1"/>
      <protection hidden="1"/>
    </xf>
    <xf numFmtId="0" fontId="37" fillId="18" borderId="43" xfId="0" applyFont="1" applyFill="1" applyBorder="1" applyAlignment="1" applyProtection="1">
      <alignment horizontal="center" vertical="center"/>
      <protection hidden="1"/>
    </xf>
    <xf numFmtId="0" fontId="37" fillId="18" borderId="42" xfId="0" applyFont="1" applyFill="1" applyBorder="1" applyAlignment="1" applyProtection="1">
      <alignment horizontal="center" vertical="center"/>
      <protection hidden="1"/>
    </xf>
    <xf numFmtId="165" fontId="38" fillId="18" borderId="72" xfId="0" applyNumberFormat="1" applyFont="1" applyFill="1" applyBorder="1" applyAlignment="1" applyProtection="1">
      <alignment horizontal="center" vertical="center"/>
      <protection hidden="1"/>
    </xf>
    <xf numFmtId="165" fontId="38" fillId="18" borderId="47" xfId="0" applyNumberFormat="1" applyFont="1" applyFill="1" applyBorder="1" applyAlignment="1" applyProtection="1">
      <alignment horizontal="center" vertical="center"/>
      <protection hidden="1"/>
    </xf>
    <xf numFmtId="165" fontId="31" fillId="19" borderId="41" xfId="0" applyNumberFormat="1" applyFont="1" applyFill="1" applyBorder="1" applyAlignment="1" applyProtection="1">
      <alignment horizontal="center" vertical="center"/>
      <protection locked="0"/>
    </xf>
    <xf numFmtId="165" fontId="31" fillId="19" borderId="42" xfId="0" applyNumberFormat="1" applyFont="1" applyFill="1" applyBorder="1" applyAlignment="1" applyProtection="1">
      <alignment horizontal="center" vertical="center"/>
      <protection locked="0"/>
    </xf>
    <xf numFmtId="0" fontId="38" fillId="18" borderId="123" xfId="0" applyFont="1" applyFill="1" applyBorder="1" applyAlignment="1" applyProtection="1">
      <alignment horizontal="center" vertical="center" wrapText="1"/>
      <protection hidden="1"/>
    </xf>
    <xf numFmtId="0" fontId="38" fillId="18" borderId="41" xfId="0" applyFont="1" applyFill="1" applyBorder="1" applyAlignment="1" applyProtection="1">
      <alignment horizontal="center" vertical="center" wrapText="1"/>
      <protection hidden="1"/>
    </xf>
    <xf numFmtId="0" fontId="38" fillId="18" borderId="77" xfId="0" applyFont="1" applyFill="1" applyBorder="1" applyAlignment="1" applyProtection="1">
      <alignment horizontal="center" vertical="center" wrapText="1"/>
      <protection hidden="1"/>
    </xf>
    <xf numFmtId="0" fontId="38" fillId="18" borderId="79" xfId="0" applyFont="1" applyFill="1" applyBorder="1" applyAlignment="1" applyProtection="1">
      <alignment horizontal="left" vertical="center" wrapText="1"/>
      <protection hidden="1"/>
    </xf>
    <xf numFmtId="0" fontId="38" fillId="18" borderId="83" xfId="0" applyFont="1" applyFill="1" applyBorder="1" applyAlignment="1" applyProtection="1">
      <alignment horizontal="left" vertical="center" wrapText="1"/>
      <protection hidden="1"/>
    </xf>
    <xf numFmtId="0" fontId="38" fillId="19" borderId="79" xfId="0" applyFont="1" applyFill="1" applyBorder="1" applyAlignment="1">
      <alignment horizontal="center" vertical="center"/>
    </xf>
    <xf numFmtId="0" fontId="38" fillId="19" borderId="83" xfId="0" applyFont="1" applyFill="1" applyBorder="1" applyAlignment="1">
      <alignment horizontal="center" vertical="center"/>
    </xf>
    <xf numFmtId="0" fontId="38" fillId="19" borderId="122" xfId="0" applyFont="1" applyFill="1" applyBorder="1" applyAlignment="1">
      <alignment horizontal="center" vertical="center"/>
    </xf>
    <xf numFmtId="0" fontId="38" fillId="19" borderId="120" xfId="0" applyFont="1" applyFill="1" applyBorder="1" applyAlignment="1">
      <alignment horizontal="center" vertical="center"/>
    </xf>
    <xf numFmtId="165" fontId="38" fillId="19" borderId="79" xfId="0" applyNumberFormat="1" applyFont="1" applyFill="1" applyBorder="1" applyAlignment="1">
      <alignment horizontal="center" vertical="center"/>
    </xf>
    <xf numFmtId="165" fontId="41" fillId="38" borderId="43" xfId="0" applyNumberFormat="1" applyFont="1" applyFill="1" applyBorder="1" applyAlignment="1">
      <alignment horizontal="center" vertical="center"/>
    </xf>
    <xf numFmtId="0" fontId="41" fillId="38" borderId="42" xfId="0" applyFont="1" applyFill="1" applyBorder="1" applyAlignment="1">
      <alignment horizontal="center" vertical="center"/>
    </xf>
    <xf numFmtId="165" fontId="38" fillId="19" borderId="43" xfId="0" applyNumberFormat="1" applyFont="1" applyFill="1" applyBorder="1" applyAlignment="1">
      <alignment horizontal="center" vertical="center"/>
    </xf>
    <xf numFmtId="0" fontId="38" fillId="19" borderId="42" xfId="0" applyFont="1" applyFill="1" applyBorder="1" applyAlignment="1">
      <alignment horizontal="center" vertical="center"/>
    </xf>
    <xf numFmtId="0" fontId="38" fillId="18" borderId="1" xfId="0" applyFont="1" applyFill="1" applyBorder="1" applyAlignment="1">
      <alignment horizontal="left" vertical="center" wrapText="1"/>
    </xf>
    <xf numFmtId="0" fontId="38" fillId="18" borderId="123" xfId="0" applyFont="1" applyFill="1" applyBorder="1" applyAlignment="1">
      <alignment horizontal="left" vertical="center" wrapText="1"/>
    </xf>
    <xf numFmtId="0" fontId="38" fillId="19" borderId="7" xfId="0" applyFont="1" applyFill="1" applyBorder="1" applyAlignment="1">
      <alignment horizontal="center" vertical="center"/>
    </xf>
    <xf numFmtId="0" fontId="38" fillId="18" borderId="124" xfId="0" applyFont="1" applyFill="1" applyBorder="1" applyAlignment="1">
      <alignment horizontal="left" vertical="center" wrapText="1"/>
    </xf>
    <xf numFmtId="0" fontId="38" fillId="18" borderId="126" xfId="0" applyFont="1" applyFill="1" applyBorder="1" applyAlignment="1">
      <alignment horizontal="left" vertical="center" wrapText="1"/>
    </xf>
    <xf numFmtId="0" fontId="38" fillId="19" borderId="125" xfId="0" applyFont="1" applyFill="1" applyBorder="1" applyAlignment="1">
      <alignment horizontal="center" vertical="center"/>
    </xf>
    <xf numFmtId="0" fontId="38" fillId="19" borderId="126" xfId="0" applyFont="1" applyFill="1" applyBorder="1" applyAlignment="1">
      <alignment horizontal="center" vertical="center"/>
    </xf>
    <xf numFmtId="0" fontId="17" fillId="0" borderId="63" xfId="0" applyFont="1" applyBorder="1" applyAlignment="1">
      <alignment horizontal="center"/>
    </xf>
  </cellXfs>
  <cellStyles count="19">
    <cellStyle name="20% - Énfasis1" xfId="4" builtinId="30"/>
    <cellStyle name="20% - Énfasis2" xfId="11" builtinId="34"/>
    <cellStyle name="20% - Énfasis3" xfId="12" builtinId="38"/>
    <cellStyle name="20% - Énfasis3 2" xfId="16"/>
    <cellStyle name="20% - Énfasis5" xfId="13" builtinId="46"/>
    <cellStyle name="20% - Énfasis5 2" xfId="17"/>
    <cellStyle name="20% - Énfasis6" xfId="18" builtinId="50"/>
    <cellStyle name="40% - Énfasis5" xfId="2" builtinId="47"/>
    <cellStyle name="40% - Énfasis6" xfId="15" builtinId="51"/>
    <cellStyle name="60% - Énfasis1" xfId="5" builtinId="32"/>
    <cellStyle name="60% - Énfasis3" xfId="6" builtinId="40"/>
    <cellStyle name="60% - Énfasis6" xfId="3" builtinId="52"/>
    <cellStyle name="Énfasis1" xfId="9" builtinId="29"/>
    <cellStyle name="Énfasis2" xfId="10" builtinId="33"/>
    <cellStyle name="Énfasis3" xfId="7" builtinId="37"/>
    <cellStyle name="Énfasis4" xfId="14" builtinId="41"/>
    <cellStyle name="Énfasis5" xfId="1" builtinId="45"/>
    <cellStyle name="Énfasis6" xfId="8" builtinId="49"/>
    <cellStyle name="Normal" xfId="0" builtinId="0"/>
  </cellStyles>
  <dxfs count="29">
    <dxf>
      <font>
        <color theme="9" tint="-0.499984740745262"/>
      </font>
      <fill>
        <patternFill>
          <bgColor theme="9" tint="0.79998168889431442"/>
        </patternFill>
      </fill>
    </dxf>
    <dxf>
      <font>
        <color theme="0"/>
      </font>
      <fill>
        <patternFill>
          <bgColor rgb="FFFF0000"/>
        </patternFill>
      </fill>
    </dxf>
    <dxf>
      <font>
        <color theme="9" tint="-0.499984740745262"/>
      </font>
      <fill>
        <patternFill>
          <bgColor theme="9" tint="0.79998168889431442"/>
        </patternFill>
      </fill>
    </dxf>
    <dxf>
      <font>
        <color theme="0"/>
      </font>
      <fill>
        <patternFill>
          <bgColor rgb="FFFF0000"/>
        </patternFill>
      </fill>
    </dxf>
    <dxf>
      <font>
        <color theme="9" tint="-0.499984740745262"/>
      </font>
      <fill>
        <patternFill>
          <bgColor theme="9" tint="0.79998168889431442"/>
        </patternFill>
      </fill>
    </dxf>
    <dxf>
      <font>
        <color theme="0"/>
      </font>
      <fill>
        <patternFill>
          <bgColor rgb="FFFF0000"/>
        </patternFill>
      </fill>
    </dxf>
    <dxf>
      <font>
        <color theme="9" tint="-0.499984740745262"/>
      </font>
      <fill>
        <patternFill>
          <bgColor theme="9" tint="0.79998168889431442"/>
        </patternFill>
      </fill>
    </dxf>
    <dxf>
      <font>
        <color theme="0"/>
      </font>
      <fill>
        <patternFill>
          <bgColor rgb="FFFF0000"/>
        </patternFill>
      </fill>
    </dxf>
    <dxf>
      <font>
        <color theme="9" tint="-0.499984740745262"/>
      </font>
      <fill>
        <patternFill>
          <bgColor theme="9" tint="0.79998168889431442"/>
        </patternFill>
      </fill>
    </dxf>
    <dxf>
      <font>
        <color theme="0"/>
      </font>
      <fill>
        <patternFill>
          <bgColor rgb="FFFF0000"/>
        </patternFill>
      </fill>
    </dxf>
    <dxf>
      <font>
        <b/>
        <i val="0"/>
        <color theme="0"/>
      </font>
      <fill>
        <patternFill>
          <bgColor rgb="FFFF0000"/>
        </patternFill>
      </fill>
    </dxf>
    <dxf>
      <font>
        <b/>
        <i val="0"/>
        <color theme="6" tint="-0.499984740745262"/>
      </font>
      <fill>
        <patternFill>
          <bgColor theme="6" tint="0.79998168889431442"/>
        </patternFill>
      </fill>
    </dxf>
    <dxf>
      <font>
        <b/>
        <i val="0"/>
        <color theme="9" tint="-0.499984740745262"/>
      </font>
      <fill>
        <patternFill>
          <bgColor theme="9" tint="0.79998168889431442"/>
        </patternFill>
      </fill>
    </dxf>
    <dxf>
      <alignment horizontal="center" vertical="center" textRotation="0" wrapText="0" indent="0" justifyLastLine="0" shrinkToFit="0" readingOrder="0"/>
      <border diagonalUp="0" diagonalDown="0">
        <left style="thin">
          <color theme="0"/>
        </left>
        <right style="thin">
          <color theme="0"/>
        </right>
        <top/>
        <bottom/>
        <vertical/>
        <horizontal/>
      </border>
      <protection locked="1" hidden="1"/>
    </dxf>
    <dxf>
      <alignment horizontal="center" vertical="center" textRotation="0" wrapText="0" indent="0" justifyLastLine="0" shrinkToFit="0" readingOrder="0"/>
      <border diagonalUp="0" diagonalDown="0">
        <left style="thin">
          <color theme="0"/>
        </left>
        <right style="thin">
          <color theme="0"/>
        </right>
        <top style="medium">
          <color theme="0"/>
        </top>
        <bottom style="medium">
          <color theme="0"/>
        </bottom>
        <vertical/>
        <horizontal style="medium">
          <color theme="0"/>
        </horizontal>
      </border>
      <protection locked="1" hidden="1"/>
    </dxf>
    <dxf>
      <alignment horizontal="center" vertical="center" textRotation="0" wrapText="0" indent="0" justifyLastLine="0" shrinkToFit="0" readingOrder="0"/>
      <border diagonalUp="0" diagonalDown="0">
        <left/>
        <right style="thin">
          <color theme="0"/>
        </right>
        <top style="medium">
          <color auto="1"/>
        </top>
        <bottom style="medium">
          <color auto="1"/>
        </bottom>
        <vertical/>
        <horizontal style="medium">
          <color auto="1"/>
        </horizontal>
      </border>
      <protection locked="1" hidden="1"/>
    </dxf>
    <dxf>
      <border>
        <top style="thin">
          <color indexed="64"/>
        </top>
      </border>
    </dxf>
    <dxf>
      <border diagonalUp="0" diagonalDown="0">
        <left style="thin">
          <color theme="0"/>
        </left>
        <right style="thin">
          <color theme="0"/>
        </right>
        <top style="thin">
          <color theme="0"/>
        </top>
        <bottom style="thin">
          <color theme="0"/>
        </bottom>
      </border>
    </dxf>
    <dxf>
      <protection locked="1" hidden="1"/>
    </dxf>
    <dxf>
      <border>
        <bottom style="medium">
          <color theme="0"/>
        </bottom>
      </border>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fill>
        <patternFill>
          <bgColor theme="9" tint="0.79998168889431442"/>
        </patternFill>
      </fill>
    </dxf>
    <dxf>
      <font>
        <color theme="0"/>
      </font>
      <fill>
        <patternFill>
          <bgColor rgb="FFFF0000"/>
        </patternFill>
      </fill>
    </dxf>
    <dxf>
      <fill>
        <patternFill>
          <bgColor theme="9" tint="0.79998168889431442"/>
        </patternFill>
      </fill>
    </dxf>
    <dxf>
      <fill>
        <patternFill>
          <bgColor theme="7" tint="0.59996337778862885"/>
        </patternFill>
      </fill>
    </dxf>
    <dxf>
      <fill>
        <patternFill>
          <bgColor theme="9" tint="0.79998168889431442"/>
        </patternFill>
      </fill>
    </dxf>
    <dxf>
      <font>
        <color theme="0"/>
      </font>
      <fill>
        <patternFill>
          <bgColor rgb="FFFF0000"/>
        </patternFill>
      </fill>
    </dxf>
    <dxf>
      <fill>
        <patternFill>
          <bgColor theme="9" tint="0.79998168889431442"/>
        </patternFill>
      </fill>
    </dxf>
    <dxf>
      <fill>
        <patternFill>
          <bgColor theme="7" tint="0.59996337778862885"/>
        </patternFill>
      </fill>
    </dxf>
  </dxfs>
  <tableStyles count="0" defaultTableStyle="TableStyleMedium2" defaultPivotStyle="PivotStyleLight16"/>
  <colors>
    <mruColors>
      <color rgb="FFAE78D6"/>
      <color rgb="FFC7A1E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6D49881-220D-43AC-8AE6-5EF8DA746B8F}" type="doc">
      <dgm:prSet loTypeId="urn:microsoft.com/office/officeart/2005/8/layout/hProcess3" loCatId="process" qsTypeId="urn:microsoft.com/office/officeart/2005/8/quickstyle/simple5" qsCatId="simple" csTypeId="urn:microsoft.com/office/officeart/2005/8/colors/accent1_2" csCatId="accent1" phldr="1"/>
      <dgm:spPr/>
    </dgm:pt>
    <dgm:pt modelId="{FC178486-8C88-441A-8CC8-A624DBA0A719}">
      <dgm:prSet phldrT="[Texto]" custT="1"/>
      <dgm:spPr/>
      <dgm:t>
        <a:bodyPr/>
        <a:lstStyle/>
        <a:p>
          <a:r>
            <a:rPr lang="es-CL" sz="900">
              <a:solidFill>
                <a:schemeClr val="bg1"/>
              </a:solidFill>
              <a:latin typeface="+mn-lt"/>
            </a:rPr>
            <a:t>Analice replicados para determinación de aberrantes</a:t>
          </a:r>
        </a:p>
      </dgm:t>
    </dgm:pt>
    <dgm:pt modelId="{44EA650D-1496-4D77-8780-CE2CCA26A927}" type="parTrans" cxnId="{5B64C370-1DFF-45B4-B7D7-9E50F727C20E}">
      <dgm:prSet/>
      <dgm:spPr/>
      <dgm:t>
        <a:bodyPr/>
        <a:lstStyle/>
        <a:p>
          <a:endParaRPr lang="es-CL"/>
        </a:p>
      </dgm:t>
    </dgm:pt>
    <dgm:pt modelId="{48664C04-FD03-4E32-B218-72B598E7252B}" type="sibTrans" cxnId="{5B64C370-1DFF-45B4-B7D7-9E50F727C20E}">
      <dgm:prSet/>
      <dgm:spPr/>
      <dgm:t>
        <a:bodyPr/>
        <a:lstStyle/>
        <a:p>
          <a:endParaRPr lang="es-CL"/>
        </a:p>
      </dgm:t>
    </dgm:pt>
    <dgm:pt modelId="{559B846F-AA91-4545-BDA3-9E3C57F09951}" type="pres">
      <dgm:prSet presAssocID="{96D49881-220D-43AC-8AE6-5EF8DA746B8F}" presName="Name0" presStyleCnt="0">
        <dgm:presLayoutVars>
          <dgm:dir/>
          <dgm:animLvl val="lvl"/>
          <dgm:resizeHandles val="exact"/>
        </dgm:presLayoutVars>
      </dgm:prSet>
      <dgm:spPr/>
    </dgm:pt>
    <dgm:pt modelId="{AE2C113F-6C99-4F01-BDE8-3DBB4A97A8F2}" type="pres">
      <dgm:prSet presAssocID="{96D49881-220D-43AC-8AE6-5EF8DA746B8F}" presName="dummy" presStyleCnt="0"/>
      <dgm:spPr/>
    </dgm:pt>
    <dgm:pt modelId="{B59216F1-2701-4FB8-988B-692289199987}" type="pres">
      <dgm:prSet presAssocID="{96D49881-220D-43AC-8AE6-5EF8DA746B8F}" presName="linH" presStyleCnt="0"/>
      <dgm:spPr/>
    </dgm:pt>
    <dgm:pt modelId="{E59C6AF2-2986-4578-B0B5-731E3A8E8390}" type="pres">
      <dgm:prSet presAssocID="{96D49881-220D-43AC-8AE6-5EF8DA746B8F}" presName="padding1" presStyleCnt="0"/>
      <dgm:spPr/>
    </dgm:pt>
    <dgm:pt modelId="{83C42B2D-899A-4BB0-86F4-C256C506D81B}" type="pres">
      <dgm:prSet presAssocID="{FC178486-8C88-441A-8CC8-A624DBA0A719}" presName="linV" presStyleCnt="0"/>
      <dgm:spPr/>
    </dgm:pt>
    <dgm:pt modelId="{70A220E4-6521-441E-8F6C-769812382D7D}" type="pres">
      <dgm:prSet presAssocID="{FC178486-8C88-441A-8CC8-A624DBA0A719}" presName="spVertical1" presStyleCnt="0"/>
      <dgm:spPr/>
    </dgm:pt>
    <dgm:pt modelId="{7797568E-47EC-4150-ABD1-1473D65C4E7B}" type="pres">
      <dgm:prSet presAssocID="{FC178486-8C88-441A-8CC8-A624DBA0A719}" presName="parTx" presStyleLbl="revTx" presStyleIdx="0" presStyleCnt="1" custScaleX="115131" custScaleY="102028" custLinFactY="5644" custLinFactNeighborX="-3973" custLinFactNeighborY="100000">
        <dgm:presLayoutVars>
          <dgm:chMax val="0"/>
          <dgm:chPref val="0"/>
          <dgm:bulletEnabled val="1"/>
        </dgm:presLayoutVars>
      </dgm:prSet>
      <dgm:spPr/>
      <dgm:t>
        <a:bodyPr/>
        <a:lstStyle/>
        <a:p>
          <a:endParaRPr lang="es-CL"/>
        </a:p>
      </dgm:t>
    </dgm:pt>
    <dgm:pt modelId="{EF27BF3B-0665-4933-AEA7-FA3CAB10A95F}" type="pres">
      <dgm:prSet presAssocID="{FC178486-8C88-441A-8CC8-A624DBA0A719}" presName="spVertical2" presStyleCnt="0"/>
      <dgm:spPr/>
    </dgm:pt>
    <dgm:pt modelId="{E9EC0ECA-43BF-43EB-B8E2-3211FCB832BD}" type="pres">
      <dgm:prSet presAssocID="{FC178486-8C88-441A-8CC8-A624DBA0A719}" presName="spVertical3" presStyleCnt="0"/>
      <dgm:spPr/>
    </dgm:pt>
    <dgm:pt modelId="{5798F448-3A8A-4E00-ABBD-77EBECCF10FB}" type="pres">
      <dgm:prSet presAssocID="{96D49881-220D-43AC-8AE6-5EF8DA746B8F}" presName="padding2" presStyleCnt="0"/>
      <dgm:spPr/>
    </dgm:pt>
    <dgm:pt modelId="{966397C1-9340-4135-8540-0D6FAFDC9C05}" type="pres">
      <dgm:prSet presAssocID="{96D49881-220D-43AC-8AE6-5EF8DA746B8F}" presName="negArrow" presStyleCnt="0"/>
      <dgm:spPr/>
    </dgm:pt>
    <dgm:pt modelId="{367571A5-E906-4315-AB68-5607C5E6E31B}" type="pres">
      <dgm:prSet presAssocID="{96D49881-220D-43AC-8AE6-5EF8DA746B8F}" presName="backgroundArrow" presStyleLbl="node1" presStyleIdx="0" presStyleCnt="1" custScaleY="158750" custLinFactNeighborX="1899" custLinFactNeighborY="-5277"/>
      <dgm:spPr>
        <a:scene3d>
          <a:camera prst="orthographicFront"/>
          <a:lightRig rig="threePt" dir="t"/>
        </a:scene3d>
        <a:sp3d extrusionH="76200" prstMaterial="matte">
          <a:extrusionClr>
            <a:srgbClr val="FFFF00"/>
          </a:extrusionClr>
        </a:sp3d>
      </dgm:spPr>
    </dgm:pt>
  </dgm:ptLst>
  <dgm:cxnLst>
    <dgm:cxn modelId="{5B64C370-1DFF-45B4-B7D7-9E50F727C20E}" srcId="{96D49881-220D-43AC-8AE6-5EF8DA746B8F}" destId="{FC178486-8C88-441A-8CC8-A624DBA0A719}" srcOrd="0" destOrd="0" parTransId="{44EA650D-1496-4D77-8780-CE2CCA26A927}" sibTransId="{48664C04-FD03-4E32-B218-72B598E7252B}"/>
    <dgm:cxn modelId="{43592D5C-C174-4CC0-B5CD-41E4AFE2C5E0}" type="presOf" srcId="{FC178486-8C88-441A-8CC8-A624DBA0A719}" destId="{7797568E-47EC-4150-ABD1-1473D65C4E7B}" srcOrd="0" destOrd="0" presId="urn:microsoft.com/office/officeart/2005/8/layout/hProcess3"/>
    <dgm:cxn modelId="{5C3566D6-D24B-418F-B200-9B7E95FFED22}" type="presOf" srcId="{96D49881-220D-43AC-8AE6-5EF8DA746B8F}" destId="{559B846F-AA91-4545-BDA3-9E3C57F09951}" srcOrd="0" destOrd="0" presId="urn:microsoft.com/office/officeart/2005/8/layout/hProcess3"/>
    <dgm:cxn modelId="{55692735-A86C-49C2-9DE4-D88537EEC558}" type="presParOf" srcId="{559B846F-AA91-4545-BDA3-9E3C57F09951}" destId="{AE2C113F-6C99-4F01-BDE8-3DBB4A97A8F2}" srcOrd="0" destOrd="0" presId="urn:microsoft.com/office/officeart/2005/8/layout/hProcess3"/>
    <dgm:cxn modelId="{6ED9E56D-39D9-4899-8A90-D69B172FDFE4}" type="presParOf" srcId="{559B846F-AA91-4545-BDA3-9E3C57F09951}" destId="{B59216F1-2701-4FB8-988B-692289199987}" srcOrd="1" destOrd="0" presId="urn:microsoft.com/office/officeart/2005/8/layout/hProcess3"/>
    <dgm:cxn modelId="{F96EFE2D-0CA7-42FF-A279-8D4D3560C9D4}" type="presParOf" srcId="{B59216F1-2701-4FB8-988B-692289199987}" destId="{E59C6AF2-2986-4578-B0B5-731E3A8E8390}" srcOrd="0" destOrd="0" presId="urn:microsoft.com/office/officeart/2005/8/layout/hProcess3"/>
    <dgm:cxn modelId="{9D2BECB1-F09A-4FD6-B1F0-B570A56E7F17}" type="presParOf" srcId="{B59216F1-2701-4FB8-988B-692289199987}" destId="{83C42B2D-899A-4BB0-86F4-C256C506D81B}" srcOrd="1" destOrd="0" presId="urn:microsoft.com/office/officeart/2005/8/layout/hProcess3"/>
    <dgm:cxn modelId="{2A0BCCB9-5476-4481-9850-008871D051B0}" type="presParOf" srcId="{83C42B2D-899A-4BB0-86F4-C256C506D81B}" destId="{70A220E4-6521-441E-8F6C-769812382D7D}" srcOrd="0" destOrd="0" presId="urn:microsoft.com/office/officeart/2005/8/layout/hProcess3"/>
    <dgm:cxn modelId="{F417A0E2-74F6-4713-9AE8-7216DCD60877}" type="presParOf" srcId="{83C42B2D-899A-4BB0-86F4-C256C506D81B}" destId="{7797568E-47EC-4150-ABD1-1473D65C4E7B}" srcOrd="1" destOrd="0" presId="urn:microsoft.com/office/officeart/2005/8/layout/hProcess3"/>
    <dgm:cxn modelId="{D2314566-A022-4764-98FD-153CF9F295F9}" type="presParOf" srcId="{83C42B2D-899A-4BB0-86F4-C256C506D81B}" destId="{EF27BF3B-0665-4933-AEA7-FA3CAB10A95F}" srcOrd="2" destOrd="0" presId="urn:microsoft.com/office/officeart/2005/8/layout/hProcess3"/>
    <dgm:cxn modelId="{AF01E92C-E137-428B-9761-C0328BD7104F}" type="presParOf" srcId="{83C42B2D-899A-4BB0-86F4-C256C506D81B}" destId="{E9EC0ECA-43BF-43EB-B8E2-3211FCB832BD}" srcOrd="3" destOrd="0" presId="urn:microsoft.com/office/officeart/2005/8/layout/hProcess3"/>
    <dgm:cxn modelId="{4610B317-5616-4433-B5B7-93768698B7D8}" type="presParOf" srcId="{B59216F1-2701-4FB8-988B-692289199987}" destId="{5798F448-3A8A-4E00-ABBD-77EBECCF10FB}" srcOrd="2" destOrd="0" presId="urn:microsoft.com/office/officeart/2005/8/layout/hProcess3"/>
    <dgm:cxn modelId="{3A5E2A68-78EF-47E9-8092-F97D4D750606}" type="presParOf" srcId="{B59216F1-2701-4FB8-988B-692289199987}" destId="{966397C1-9340-4135-8540-0D6FAFDC9C05}" srcOrd="3" destOrd="0" presId="urn:microsoft.com/office/officeart/2005/8/layout/hProcess3"/>
    <dgm:cxn modelId="{4790F3CB-E8BC-4AF3-B5B8-CB3760F74BA4}" type="presParOf" srcId="{B59216F1-2701-4FB8-988B-692289199987}" destId="{367571A5-E906-4315-AB68-5607C5E6E31B}"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67571A5-E906-4315-AB68-5607C5E6E31B}">
      <dsp:nvSpPr>
        <dsp:cNvPr id="0" name=""/>
        <dsp:cNvSpPr/>
      </dsp:nvSpPr>
      <dsp:spPr>
        <a:xfrm>
          <a:off x="0" y="0"/>
          <a:ext cx="1504948" cy="955642"/>
        </a:xfrm>
        <a:prstGeom prst="rightArrow">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extrusionH="76200" prstMaterial="matte">
          <a:extrusionClr>
            <a:srgbClr val="FFFF00"/>
          </a:extrusionClr>
        </a:sp3d>
      </dsp:spPr>
      <dsp:style>
        <a:lnRef idx="0">
          <a:scrgbClr r="0" g="0" b="0"/>
        </a:lnRef>
        <a:fillRef idx="3">
          <a:scrgbClr r="0" g="0" b="0"/>
        </a:fillRef>
        <a:effectRef idx="3">
          <a:scrgbClr r="0" g="0" b="0"/>
        </a:effectRef>
        <a:fontRef idx="minor">
          <a:schemeClr val="lt1"/>
        </a:fontRef>
      </dsp:style>
    </dsp:sp>
    <dsp:sp modelId="{7797568E-47EC-4150-ABD1-1473D65C4E7B}">
      <dsp:nvSpPr>
        <dsp:cNvPr id="0" name=""/>
        <dsp:cNvSpPr/>
      </dsp:nvSpPr>
      <dsp:spPr>
        <a:xfrm>
          <a:off x="78380" y="330693"/>
          <a:ext cx="1233507" cy="30709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91440" rIns="0" bIns="91440" numCol="1" spcCol="1270" anchor="ctr" anchorCtr="0">
          <a:noAutofit/>
        </a:bodyPr>
        <a:lstStyle/>
        <a:p>
          <a:pPr lvl="0" algn="ctr" defTabSz="400050">
            <a:lnSpc>
              <a:spcPct val="90000"/>
            </a:lnSpc>
            <a:spcBef>
              <a:spcPct val="0"/>
            </a:spcBef>
            <a:spcAft>
              <a:spcPct val="35000"/>
            </a:spcAft>
          </a:pPr>
          <a:r>
            <a:rPr lang="es-CL" sz="900" kern="1200">
              <a:solidFill>
                <a:schemeClr val="bg1"/>
              </a:solidFill>
              <a:latin typeface="+mn-lt"/>
            </a:rPr>
            <a:t>Analice replicados para determinación de aberrantes</a:t>
          </a:r>
        </a:p>
      </dsp:txBody>
      <dsp:txXfrm>
        <a:off x="78380" y="330693"/>
        <a:ext cx="1233507" cy="307093"/>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2076450</xdr:colOff>
      <xdr:row>36</xdr:row>
      <xdr:rowOff>0</xdr:rowOff>
    </xdr:from>
    <xdr:to>
      <xdr:col>0</xdr:col>
      <xdr:colOff>2419350</xdr:colOff>
      <xdr:row>36</xdr:row>
      <xdr:rowOff>0</xdr:rowOff>
    </xdr:to>
    <xdr:cxnSp macro="">
      <xdr:nvCxnSpPr>
        <xdr:cNvPr id="2" name="1 Conector recto"/>
        <xdr:cNvCxnSpPr/>
      </xdr:nvCxnSpPr>
      <xdr:spPr>
        <a:xfrm>
          <a:off x="2076450" y="8848725"/>
          <a:ext cx="3429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1524000</xdr:colOff>
      <xdr:row>35</xdr:row>
      <xdr:rowOff>9525</xdr:rowOff>
    </xdr:from>
    <xdr:to>
      <xdr:col>0</xdr:col>
      <xdr:colOff>1657350</xdr:colOff>
      <xdr:row>35</xdr:row>
      <xdr:rowOff>9525</xdr:rowOff>
    </xdr:to>
    <xdr:cxnSp macro="">
      <xdr:nvCxnSpPr>
        <xdr:cNvPr id="3" name="2 Conector recto"/>
        <xdr:cNvCxnSpPr/>
      </xdr:nvCxnSpPr>
      <xdr:spPr>
        <a:xfrm>
          <a:off x="1524000" y="86868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2286000</xdr:colOff>
      <xdr:row>38</xdr:row>
      <xdr:rowOff>57150</xdr:rowOff>
    </xdr:from>
    <xdr:to>
      <xdr:col>0</xdr:col>
      <xdr:colOff>2400300</xdr:colOff>
      <xdr:row>38</xdr:row>
      <xdr:rowOff>57150</xdr:rowOff>
    </xdr:to>
    <xdr:cxnSp macro="">
      <xdr:nvCxnSpPr>
        <xdr:cNvPr id="4" name="3 Conector recto"/>
        <xdr:cNvCxnSpPr/>
      </xdr:nvCxnSpPr>
      <xdr:spPr>
        <a:xfrm rot="10800000">
          <a:off x="2286000" y="926782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2238375</xdr:colOff>
      <xdr:row>39</xdr:row>
      <xdr:rowOff>47625</xdr:rowOff>
    </xdr:from>
    <xdr:to>
      <xdr:col>0</xdr:col>
      <xdr:colOff>2352675</xdr:colOff>
      <xdr:row>39</xdr:row>
      <xdr:rowOff>47625</xdr:rowOff>
    </xdr:to>
    <xdr:cxnSp macro="">
      <xdr:nvCxnSpPr>
        <xdr:cNvPr id="5" name="4 Conector recto"/>
        <xdr:cNvCxnSpPr/>
      </xdr:nvCxnSpPr>
      <xdr:spPr>
        <a:xfrm rot="10800000">
          <a:off x="2238375" y="958215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2295525</xdr:colOff>
      <xdr:row>40</xdr:row>
      <xdr:rowOff>28575</xdr:rowOff>
    </xdr:from>
    <xdr:to>
      <xdr:col>0</xdr:col>
      <xdr:colOff>2409825</xdr:colOff>
      <xdr:row>40</xdr:row>
      <xdr:rowOff>28575</xdr:rowOff>
    </xdr:to>
    <xdr:cxnSp macro="">
      <xdr:nvCxnSpPr>
        <xdr:cNvPr id="6" name="5 Conector recto"/>
        <xdr:cNvCxnSpPr/>
      </xdr:nvCxnSpPr>
      <xdr:spPr>
        <a:xfrm rot="10800000">
          <a:off x="2295525" y="976312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2247900</xdr:colOff>
      <xdr:row>41</xdr:row>
      <xdr:rowOff>38100</xdr:rowOff>
    </xdr:from>
    <xdr:to>
      <xdr:col>0</xdr:col>
      <xdr:colOff>2362200</xdr:colOff>
      <xdr:row>41</xdr:row>
      <xdr:rowOff>38100</xdr:rowOff>
    </xdr:to>
    <xdr:cxnSp macro="">
      <xdr:nvCxnSpPr>
        <xdr:cNvPr id="7" name="6 Conector recto"/>
        <xdr:cNvCxnSpPr/>
      </xdr:nvCxnSpPr>
      <xdr:spPr>
        <a:xfrm rot="10800000">
          <a:off x="2247900" y="99726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2295525</xdr:colOff>
      <xdr:row>42</xdr:row>
      <xdr:rowOff>28575</xdr:rowOff>
    </xdr:from>
    <xdr:to>
      <xdr:col>0</xdr:col>
      <xdr:colOff>2409825</xdr:colOff>
      <xdr:row>42</xdr:row>
      <xdr:rowOff>28575</xdr:rowOff>
    </xdr:to>
    <xdr:cxnSp macro="">
      <xdr:nvCxnSpPr>
        <xdr:cNvPr id="8" name="7 Conector recto"/>
        <xdr:cNvCxnSpPr/>
      </xdr:nvCxnSpPr>
      <xdr:spPr>
        <a:xfrm rot="10800000">
          <a:off x="2295525" y="101631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2238375</xdr:colOff>
      <xdr:row>43</xdr:row>
      <xdr:rowOff>28575</xdr:rowOff>
    </xdr:from>
    <xdr:to>
      <xdr:col>0</xdr:col>
      <xdr:colOff>2352675</xdr:colOff>
      <xdr:row>43</xdr:row>
      <xdr:rowOff>28575</xdr:rowOff>
    </xdr:to>
    <xdr:cxnSp macro="">
      <xdr:nvCxnSpPr>
        <xdr:cNvPr id="9" name="8 Conector recto"/>
        <xdr:cNvCxnSpPr/>
      </xdr:nvCxnSpPr>
      <xdr:spPr>
        <a:xfrm rot="10800000">
          <a:off x="2238375" y="103632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49</xdr:row>
      <xdr:rowOff>28575</xdr:rowOff>
    </xdr:from>
    <xdr:to>
      <xdr:col>0</xdr:col>
      <xdr:colOff>523875</xdr:colOff>
      <xdr:row>49</xdr:row>
      <xdr:rowOff>28575</xdr:rowOff>
    </xdr:to>
    <xdr:cxnSp macro="">
      <xdr:nvCxnSpPr>
        <xdr:cNvPr id="10" name="9 Conector recto"/>
        <xdr:cNvCxnSpPr/>
      </xdr:nvCxnSpPr>
      <xdr:spPr>
        <a:xfrm>
          <a:off x="361950" y="1287780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1028700</xdr:colOff>
      <xdr:row>49</xdr:row>
      <xdr:rowOff>38100</xdr:rowOff>
    </xdr:from>
    <xdr:to>
      <xdr:col>0</xdr:col>
      <xdr:colOff>1190625</xdr:colOff>
      <xdr:row>49</xdr:row>
      <xdr:rowOff>38100</xdr:rowOff>
    </xdr:to>
    <xdr:cxnSp macro="">
      <xdr:nvCxnSpPr>
        <xdr:cNvPr id="11" name="10 Conector recto"/>
        <xdr:cNvCxnSpPr/>
      </xdr:nvCxnSpPr>
      <xdr:spPr>
        <a:xfrm>
          <a:off x="1028700" y="1288732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1704975</xdr:colOff>
      <xdr:row>49</xdr:row>
      <xdr:rowOff>19050</xdr:rowOff>
    </xdr:from>
    <xdr:to>
      <xdr:col>0</xdr:col>
      <xdr:colOff>1866900</xdr:colOff>
      <xdr:row>49</xdr:row>
      <xdr:rowOff>19050</xdr:rowOff>
    </xdr:to>
    <xdr:cxnSp macro="">
      <xdr:nvCxnSpPr>
        <xdr:cNvPr id="12" name="11 Conector recto"/>
        <xdr:cNvCxnSpPr/>
      </xdr:nvCxnSpPr>
      <xdr:spPr>
        <a:xfrm>
          <a:off x="1704975" y="128682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2286000</xdr:colOff>
      <xdr:row>49</xdr:row>
      <xdr:rowOff>19050</xdr:rowOff>
    </xdr:from>
    <xdr:to>
      <xdr:col>0</xdr:col>
      <xdr:colOff>2447925</xdr:colOff>
      <xdr:row>49</xdr:row>
      <xdr:rowOff>19050</xdr:rowOff>
    </xdr:to>
    <xdr:cxnSp macro="">
      <xdr:nvCxnSpPr>
        <xdr:cNvPr id="13" name="12 Conector recto"/>
        <xdr:cNvCxnSpPr/>
      </xdr:nvCxnSpPr>
      <xdr:spPr>
        <a:xfrm>
          <a:off x="2286000" y="128682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2571750</xdr:colOff>
      <xdr:row>52</xdr:row>
      <xdr:rowOff>57150</xdr:rowOff>
    </xdr:from>
    <xdr:to>
      <xdr:col>0</xdr:col>
      <xdr:colOff>2686050</xdr:colOff>
      <xdr:row>52</xdr:row>
      <xdr:rowOff>57150</xdr:rowOff>
    </xdr:to>
    <xdr:cxnSp macro="">
      <xdr:nvCxnSpPr>
        <xdr:cNvPr id="14" name="13 Conector recto"/>
        <xdr:cNvCxnSpPr/>
      </xdr:nvCxnSpPr>
      <xdr:spPr>
        <a:xfrm>
          <a:off x="2571750" y="127635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2019300</xdr:colOff>
      <xdr:row>53</xdr:row>
      <xdr:rowOff>238125</xdr:rowOff>
    </xdr:from>
    <xdr:to>
      <xdr:col>0</xdr:col>
      <xdr:colOff>2686050</xdr:colOff>
      <xdr:row>53</xdr:row>
      <xdr:rowOff>238125</xdr:rowOff>
    </xdr:to>
    <xdr:cxnSp macro="">
      <xdr:nvCxnSpPr>
        <xdr:cNvPr id="15" name="14 Conector recto"/>
        <xdr:cNvCxnSpPr/>
      </xdr:nvCxnSpPr>
      <xdr:spPr>
        <a:xfrm>
          <a:off x="2019300" y="13230225"/>
          <a:ext cx="66675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66676</xdr:colOff>
      <xdr:row>59</xdr:row>
      <xdr:rowOff>19050</xdr:rowOff>
    </xdr:from>
    <xdr:to>
      <xdr:col>5</xdr:col>
      <xdr:colOff>495301</xdr:colOff>
      <xdr:row>59</xdr:row>
      <xdr:rowOff>19052</xdr:rowOff>
    </xdr:to>
    <xdr:cxnSp macro="">
      <xdr:nvCxnSpPr>
        <xdr:cNvPr id="16" name="15 Conector recto"/>
        <xdr:cNvCxnSpPr/>
      </xdr:nvCxnSpPr>
      <xdr:spPr>
        <a:xfrm rot="10800000" flipV="1">
          <a:off x="4610101" y="16335375"/>
          <a:ext cx="4191000" cy="2"/>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314328</xdr:colOff>
      <xdr:row>56</xdr:row>
      <xdr:rowOff>19050</xdr:rowOff>
    </xdr:from>
    <xdr:to>
      <xdr:col>4</xdr:col>
      <xdr:colOff>904876</xdr:colOff>
      <xdr:row>56</xdr:row>
      <xdr:rowOff>19050</xdr:rowOff>
    </xdr:to>
    <xdr:cxnSp macro="">
      <xdr:nvCxnSpPr>
        <xdr:cNvPr id="18" name="17 Conector recto"/>
        <xdr:cNvCxnSpPr/>
      </xdr:nvCxnSpPr>
      <xdr:spPr>
        <a:xfrm rot="10800000">
          <a:off x="5724528" y="14839950"/>
          <a:ext cx="2314573"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752475</xdr:colOff>
      <xdr:row>55</xdr:row>
      <xdr:rowOff>66675</xdr:rowOff>
    </xdr:from>
    <xdr:to>
      <xdr:col>3</xdr:col>
      <xdr:colOff>9525</xdr:colOff>
      <xdr:row>55</xdr:row>
      <xdr:rowOff>66675</xdr:rowOff>
    </xdr:to>
    <xdr:cxnSp macro="">
      <xdr:nvCxnSpPr>
        <xdr:cNvPr id="19" name="18 Conector recto"/>
        <xdr:cNvCxnSpPr/>
      </xdr:nvCxnSpPr>
      <xdr:spPr>
        <a:xfrm>
          <a:off x="6162675" y="14506575"/>
          <a:ext cx="123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2257425</xdr:colOff>
      <xdr:row>57</xdr:row>
      <xdr:rowOff>400050</xdr:rowOff>
    </xdr:from>
    <xdr:to>
      <xdr:col>0</xdr:col>
      <xdr:colOff>2419350</xdr:colOff>
      <xdr:row>57</xdr:row>
      <xdr:rowOff>400050</xdr:rowOff>
    </xdr:to>
    <xdr:cxnSp macro="">
      <xdr:nvCxnSpPr>
        <xdr:cNvPr id="20" name="19 Conector recto"/>
        <xdr:cNvCxnSpPr/>
      </xdr:nvCxnSpPr>
      <xdr:spPr>
        <a:xfrm>
          <a:off x="2257425" y="1429702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2257425</xdr:colOff>
      <xdr:row>57</xdr:row>
      <xdr:rowOff>371475</xdr:rowOff>
    </xdr:from>
    <xdr:to>
      <xdr:col>0</xdr:col>
      <xdr:colOff>2419350</xdr:colOff>
      <xdr:row>57</xdr:row>
      <xdr:rowOff>371475</xdr:rowOff>
    </xdr:to>
    <xdr:cxnSp macro="">
      <xdr:nvCxnSpPr>
        <xdr:cNvPr id="21" name="20 Conector recto"/>
        <xdr:cNvCxnSpPr/>
      </xdr:nvCxnSpPr>
      <xdr:spPr>
        <a:xfrm>
          <a:off x="2257425" y="142684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609600</xdr:colOff>
      <xdr:row>59</xdr:row>
      <xdr:rowOff>66675</xdr:rowOff>
    </xdr:from>
    <xdr:to>
      <xdr:col>10</xdr:col>
      <xdr:colOff>733425</xdr:colOff>
      <xdr:row>59</xdr:row>
      <xdr:rowOff>66675</xdr:rowOff>
    </xdr:to>
    <xdr:cxnSp macro="">
      <xdr:nvCxnSpPr>
        <xdr:cNvPr id="23" name="22 Conector recto"/>
        <xdr:cNvCxnSpPr/>
      </xdr:nvCxnSpPr>
      <xdr:spPr>
        <a:xfrm>
          <a:off x="13430250" y="16383000"/>
          <a:ext cx="1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1600200</xdr:colOff>
      <xdr:row>62</xdr:row>
      <xdr:rowOff>85725</xdr:rowOff>
    </xdr:from>
    <xdr:to>
      <xdr:col>6</xdr:col>
      <xdr:colOff>1762125</xdr:colOff>
      <xdr:row>62</xdr:row>
      <xdr:rowOff>85725</xdr:rowOff>
    </xdr:to>
    <xdr:cxnSp macro="">
      <xdr:nvCxnSpPr>
        <xdr:cNvPr id="24" name="23 Conector recto"/>
        <xdr:cNvCxnSpPr/>
      </xdr:nvCxnSpPr>
      <xdr:spPr>
        <a:xfrm>
          <a:off x="10029825" y="17678400"/>
          <a:ext cx="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xdr:colOff>
      <xdr:row>61</xdr:row>
      <xdr:rowOff>28576</xdr:rowOff>
    </xdr:from>
    <xdr:to>
      <xdr:col>7</xdr:col>
      <xdr:colOff>171449</xdr:colOff>
      <xdr:row>63</xdr:row>
      <xdr:rowOff>228607</xdr:rowOff>
    </xdr:to>
    <xdr:cxnSp macro="">
      <xdr:nvCxnSpPr>
        <xdr:cNvPr id="25" name="24 Conector recto"/>
        <xdr:cNvCxnSpPr/>
      </xdr:nvCxnSpPr>
      <xdr:spPr>
        <a:xfrm rot="5400000" flipH="1" flipV="1">
          <a:off x="9801224" y="17659356"/>
          <a:ext cx="628656" cy="171445"/>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161925</xdr:colOff>
      <xdr:row>61</xdr:row>
      <xdr:rowOff>28575</xdr:rowOff>
    </xdr:from>
    <xdr:to>
      <xdr:col>8</xdr:col>
      <xdr:colOff>581025</xdr:colOff>
      <xdr:row>61</xdr:row>
      <xdr:rowOff>28581</xdr:rowOff>
    </xdr:to>
    <xdr:cxnSp macro="">
      <xdr:nvCxnSpPr>
        <xdr:cNvPr id="26" name="25 Conector recto"/>
        <xdr:cNvCxnSpPr/>
      </xdr:nvCxnSpPr>
      <xdr:spPr>
        <a:xfrm flipV="1">
          <a:off x="10191750" y="17430750"/>
          <a:ext cx="1438275"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1028701</xdr:colOff>
      <xdr:row>62</xdr:row>
      <xdr:rowOff>152400</xdr:rowOff>
    </xdr:from>
    <xdr:to>
      <xdr:col>6</xdr:col>
      <xdr:colOff>1095376</xdr:colOff>
      <xdr:row>63</xdr:row>
      <xdr:rowOff>219080</xdr:rowOff>
    </xdr:to>
    <xdr:cxnSp macro="">
      <xdr:nvCxnSpPr>
        <xdr:cNvPr id="27" name="26 Conector recto"/>
        <xdr:cNvCxnSpPr/>
      </xdr:nvCxnSpPr>
      <xdr:spPr>
        <a:xfrm rot="16200000" flipV="1">
          <a:off x="9877423" y="17897478"/>
          <a:ext cx="30480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63</xdr:row>
      <xdr:rowOff>57150</xdr:rowOff>
    </xdr:from>
    <xdr:to>
      <xdr:col>8</xdr:col>
      <xdr:colOff>771525</xdr:colOff>
      <xdr:row>63</xdr:row>
      <xdr:rowOff>57156</xdr:rowOff>
    </xdr:to>
    <xdr:cxnSp macro="">
      <xdr:nvCxnSpPr>
        <xdr:cNvPr id="28" name="27 Conector recto"/>
        <xdr:cNvCxnSpPr/>
      </xdr:nvCxnSpPr>
      <xdr:spPr>
        <a:xfrm flipV="1">
          <a:off x="10210800" y="16583025"/>
          <a:ext cx="1609725"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55</xdr:row>
      <xdr:rowOff>57150</xdr:rowOff>
    </xdr:from>
    <xdr:to>
      <xdr:col>3</xdr:col>
      <xdr:colOff>285750</xdr:colOff>
      <xdr:row>55</xdr:row>
      <xdr:rowOff>57150</xdr:rowOff>
    </xdr:to>
    <xdr:cxnSp macro="">
      <xdr:nvCxnSpPr>
        <xdr:cNvPr id="29" name="28 Conector recto"/>
        <xdr:cNvCxnSpPr/>
      </xdr:nvCxnSpPr>
      <xdr:spPr>
        <a:xfrm>
          <a:off x="6438900" y="14497050"/>
          <a:ext cx="123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55</xdr:row>
      <xdr:rowOff>57150</xdr:rowOff>
    </xdr:from>
    <xdr:to>
      <xdr:col>3</xdr:col>
      <xdr:colOff>571500</xdr:colOff>
      <xdr:row>55</xdr:row>
      <xdr:rowOff>57150</xdr:rowOff>
    </xdr:to>
    <xdr:cxnSp macro="">
      <xdr:nvCxnSpPr>
        <xdr:cNvPr id="30" name="29 Conector recto"/>
        <xdr:cNvCxnSpPr/>
      </xdr:nvCxnSpPr>
      <xdr:spPr>
        <a:xfrm>
          <a:off x="6724650" y="14497050"/>
          <a:ext cx="123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704850</xdr:colOff>
      <xdr:row>55</xdr:row>
      <xdr:rowOff>66675</xdr:rowOff>
    </xdr:from>
    <xdr:to>
      <xdr:col>4</xdr:col>
      <xdr:colOff>9525</xdr:colOff>
      <xdr:row>55</xdr:row>
      <xdr:rowOff>66675</xdr:rowOff>
    </xdr:to>
    <xdr:cxnSp macro="">
      <xdr:nvCxnSpPr>
        <xdr:cNvPr id="31" name="30 Conector recto"/>
        <xdr:cNvCxnSpPr/>
      </xdr:nvCxnSpPr>
      <xdr:spPr>
        <a:xfrm>
          <a:off x="6981825" y="145065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55</xdr:row>
      <xdr:rowOff>66675</xdr:rowOff>
    </xdr:from>
    <xdr:to>
      <xdr:col>4</xdr:col>
      <xdr:colOff>295275</xdr:colOff>
      <xdr:row>55</xdr:row>
      <xdr:rowOff>66675</xdr:rowOff>
    </xdr:to>
    <xdr:cxnSp macro="">
      <xdr:nvCxnSpPr>
        <xdr:cNvPr id="32" name="31 Conector recto"/>
        <xdr:cNvCxnSpPr/>
      </xdr:nvCxnSpPr>
      <xdr:spPr>
        <a:xfrm>
          <a:off x="7305675" y="14506575"/>
          <a:ext cx="123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2247900</xdr:colOff>
      <xdr:row>45</xdr:row>
      <xdr:rowOff>28575</xdr:rowOff>
    </xdr:from>
    <xdr:to>
      <xdr:col>0</xdr:col>
      <xdr:colOff>2362200</xdr:colOff>
      <xdr:row>45</xdr:row>
      <xdr:rowOff>28575</xdr:rowOff>
    </xdr:to>
    <xdr:cxnSp macro="">
      <xdr:nvCxnSpPr>
        <xdr:cNvPr id="55" name="9 Conector recto"/>
        <xdr:cNvCxnSpPr/>
      </xdr:nvCxnSpPr>
      <xdr:spPr>
        <a:xfrm rot="10800000">
          <a:off x="2247900" y="1076325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2247900</xdr:colOff>
      <xdr:row>47</xdr:row>
      <xdr:rowOff>38100</xdr:rowOff>
    </xdr:from>
    <xdr:to>
      <xdr:col>0</xdr:col>
      <xdr:colOff>2362200</xdr:colOff>
      <xdr:row>47</xdr:row>
      <xdr:rowOff>38100</xdr:rowOff>
    </xdr:to>
    <xdr:cxnSp macro="">
      <xdr:nvCxnSpPr>
        <xdr:cNvPr id="56" name="9 Conector recto"/>
        <xdr:cNvCxnSpPr/>
      </xdr:nvCxnSpPr>
      <xdr:spPr>
        <a:xfrm rot="10800000">
          <a:off x="2247900" y="1117282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2305050</xdr:colOff>
      <xdr:row>44</xdr:row>
      <xdr:rowOff>38100</xdr:rowOff>
    </xdr:from>
    <xdr:to>
      <xdr:col>0</xdr:col>
      <xdr:colOff>2419350</xdr:colOff>
      <xdr:row>44</xdr:row>
      <xdr:rowOff>38100</xdr:rowOff>
    </xdr:to>
    <xdr:cxnSp macro="">
      <xdr:nvCxnSpPr>
        <xdr:cNvPr id="57" name="8 Conector recto"/>
        <xdr:cNvCxnSpPr/>
      </xdr:nvCxnSpPr>
      <xdr:spPr>
        <a:xfrm rot="10800000">
          <a:off x="2305050" y="1057275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2305050</xdr:colOff>
      <xdr:row>46</xdr:row>
      <xdr:rowOff>19050</xdr:rowOff>
    </xdr:from>
    <xdr:to>
      <xdr:col>0</xdr:col>
      <xdr:colOff>2419350</xdr:colOff>
      <xdr:row>46</xdr:row>
      <xdr:rowOff>19050</xdr:rowOff>
    </xdr:to>
    <xdr:cxnSp macro="">
      <xdr:nvCxnSpPr>
        <xdr:cNvPr id="58" name="8 Conector recto"/>
        <xdr:cNvCxnSpPr/>
      </xdr:nvCxnSpPr>
      <xdr:spPr>
        <a:xfrm rot="10800000">
          <a:off x="2305050" y="1095375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2876550</xdr:colOff>
      <xdr:row>49</xdr:row>
      <xdr:rowOff>47625</xdr:rowOff>
    </xdr:from>
    <xdr:to>
      <xdr:col>0</xdr:col>
      <xdr:colOff>3038475</xdr:colOff>
      <xdr:row>49</xdr:row>
      <xdr:rowOff>47625</xdr:rowOff>
    </xdr:to>
    <xdr:cxnSp macro="">
      <xdr:nvCxnSpPr>
        <xdr:cNvPr id="59" name="58 Conector recto"/>
        <xdr:cNvCxnSpPr/>
      </xdr:nvCxnSpPr>
      <xdr:spPr>
        <a:xfrm>
          <a:off x="2876550" y="128968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3495675</xdr:colOff>
      <xdr:row>49</xdr:row>
      <xdr:rowOff>57150</xdr:rowOff>
    </xdr:from>
    <xdr:to>
      <xdr:col>0</xdr:col>
      <xdr:colOff>3657600</xdr:colOff>
      <xdr:row>49</xdr:row>
      <xdr:rowOff>57150</xdr:rowOff>
    </xdr:to>
    <xdr:cxnSp macro="">
      <xdr:nvCxnSpPr>
        <xdr:cNvPr id="60" name="59 Conector recto"/>
        <xdr:cNvCxnSpPr/>
      </xdr:nvCxnSpPr>
      <xdr:spPr>
        <a:xfrm>
          <a:off x="3495675" y="129063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2066925</xdr:colOff>
      <xdr:row>11</xdr:row>
      <xdr:rowOff>57150</xdr:rowOff>
    </xdr:from>
    <xdr:to>
      <xdr:col>15</xdr:col>
      <xdr:colOff>2181225</xdr:colOff>
      <xdr:row>11</xdr:row>
      <xdr:rowOff>57150</xdr:rowOff>
    </xdr:to>
    <xdr:cxnSp macro="">
      <xdr:nvCxnSpPr>
        <xdr:cNvPr id="61" name="60 Conector recto"/>
        <xdr:cNvCxnSpPr/>
      </xdr:nvCxnSpPr>
      <xdr:spPr>
        <a:xfrm rot="10800000">
          <a:off x="17640300" y="21621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2019300</xdr:colOff>
      <xdr:row>12</xdr:row>
      <xdr:rowOff>76200</xdr:rowOff>
    </xdr:from>
    <xdr:to>
      <xdr:col>15</xdr:col>
      <xdr:colOff>2133600</xdr:colOff>
      <xdr:row>12</xdr:row>
      <xdr:rowOff>76200</xdr:rowOff>
    </xdr:to>
    <xdr:cxnSp macro="">
      <xdr:nvCxnSpPr>
        <xdr:cNvPr id="62" name="61 Conector recto"/>
        <xdr:cNvCxnSpPr/>
      </xdr:nvCxnSpPr>
      <xdr:spPr>
        <a:xfrm rot="10800000">
          <a:off x="17592675" y="24288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2028825</xdr:colOff>
      <xdr:row>13</xdr:row>
      <xdr:rowOff>66675</xdr:rowOff>
    </xdr:from>
    <xdr:to>
      <xdr:col>15</xdr:col>
      <xdr:colOff>2143125</xdr:colOff>
      <xdr:row>13</xdr:row>
      <xdr:rowOff>66675</xdr:rowOff>
    </xdr:to>
    <xdr:cxnSp macro="">
      <xdr:nvCxnSpPr>
        <xdr:cNvPr id="63" name="62 Conector recto"/>
        <xdr:cNvCxnSpPr/>
      </xdr:nvCxnSpPr>
      <xdr:spPr>
        <a:xfrm rot="10800000">
          <a:off x="17602200" y="26670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1981200</xdr:colOff>
      <xdr:row>14</xdr:row>
      <xdr:rowOff>66675</xdr:rowOff>
    </xdr:from>
    <xdr:to>
      <xdr:col>15</xdr:col>
      <xdr:colOff>2095500</xdr:colOff>
      <xdr:row>14</xdr:row>
      <xdr:rowOff>66675</xdr:rowOff>
    </xdr:to>
    <xdr:cxnSp macro="">
      <xdr:nvCxnSpPr>
        <xdr:cNvPr id="64" name="63 Conector recto"/>
        <xdr:cNvCxnSpPr/>
      </xdr:nvCxnSpPr>
      <xdr:spPr>
        <a:xfrm rot="10800000">
          <a:off x="17554575" y="290512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2009775</xdr:colOff>
      <xdr:row>15</xdr:row>
      <xdr:rowOff>66675</xdr:rowOff>
    </xdr:from>
    <xdr:to>
      <xdr:col>15</xdr:col>
      <xdr:colOff>2124075</xdr:colOff>
      <xdr:row>15</xdr:row>
      <xdr:rowOff>66675</xdr:rowOff>
    </xdr:to>
    <xdr:cxnSp macro="">
      <xdr:nvCxnSpPr>
        <xdr:cNvPr id="65" name="64 Conector recto"/>
        <xdr:cNvCxnSpPr/>
      </xdr:nvCxnSpPr>
      <xdr:spPr>
        <a:xfrm rot="10800000">
          <a:off x="17583150" y="31623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1981200</xdr:colOff>
      <xdr:row>16</xdr:row>
      <xdr:rowOff>66675</xdr:rowOff>
    </xdr:from>
    <xdr:to>
      <xdr:col>15</xdr:col>
      <xdr:colOff>2095500</xdr:colOff>
      <xdr:row>16</xdr:row>
      <xdr:rowOff>66675</xdr:rowOff>
    </xdr:to>
    <xdr:cxnSp macro="">
      <xdr:nvCxnSpPr>
        <xdr:cNvPr id="66" name="65 Conector recto"/>
        <xdr:cNvCxnSpPr/>
      </xdr:nvCxnSpPr>
      <xdr:spPr>
        <a:xfrm rot="10800000">
          <a:off x="17554575" y="34671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361950</xdr:colOff>
      <xdr:row>22</xdr:row>
      <xdr:rowOff>38100</xdr:rowOff>
    </xdr:from>
    <xdr:to>
      <xdr:col>15</xdr:col>
      <xdr:colOff>523875</xdr:colOff>
      <xdr:row>22</xdr:row>
      <xdr:rowOff>38100</xdr:rowOff>
    </xdr:to>
    <xdr:cxnSp macro="">
      <xdr:nvCxnSpPr>
        <xdr:cNvPr id="67" name="66 Conector recto"/>
        <xdr:cNvCxnSpPr/>
      </xdr:nvCxnSpPr>
      <xdr:spPr>
        <a:xfrm>
          <a:off x="15935325" y="49720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1009650</xdr:colOff>
      <xdr:row>22</xdr:row>
      <xdr:rowOff>38100</xdr:rowOff>
    </xdr:from>
    <xdr:to>
      <xdr:col>15</xdr:col>
      <xdr:colOff>1171575</xdr:colOff>
      <xdr:row>22</xdr:row>
      <xdr:rowOff>38100</xdr:rowOff>
    </xdr:to>
    <xdr:cxnSp macro="">
      <xdr:nvCxnSpPr>
        <xdr:cNvPr id="68" name="67 Conector recto"/>
        <xdr:cNvCxnSpPr/>
      </xdr:nvCxnSpPr>
      <xdr:spPr>
        <a:xfrm>
          <a:off x="16583025" y="49720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1581150</xdr:colOff>
      <xdr:row>22</xdr:row>
      <xdr:rowOff>47625</xdr:rowOff>
    </xdr:from>
    <xdr:to>
      <xdr:col>15</xdr:col>
      <xdr:colOff>1743075</xdr:colOff>
      <xdr:row>22</xdr:row>
      <xdr:rowOff>47625</xdr:rowOff>
    </xdr:to>
    <xdr:cxnSp macro="">
      <xdr:nvCxnSpPr>
        <xdr:cNvPr id="69" name="68 Conector recto"/>
        <xdr:cNvCxnSpPr/>
      </xdr:nvCxnSpPr>
      <xdr:spPr>
        <a:xfrm>
          <a:off x="17154525" y="49815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2143125</xdr:colOff>
      <xdr:row>22</xdr:row>
      <xdr:rowOff>47625</xdr:rowOff>
    </xdr:from>
    <xdr:to>
      <xdr:col>15</xdr:col>
      <xdr:colOff>2305050</xdr:colOff>
      <xdr:row>22</xdr:row>
      <xdr:rowOff>47625</xdr:rowOff>
    </xdr:to>
    <xdr:cxnSp macro="">
      <xdr:nvCxnSpPr>
        <xdr:cNvPr id="70" name="69 Conector recto"/>
        <xdr:cNvCxnSpPr/>
      </xdr:nvCxnSpPr>
      <xdr:spPr>
        <a:xfrm>
          <a:off x="17716500" y="49815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2009775</xdr:colOff>
      <xdr:row>18</xdr:row>
      <xdr:rowOff>57150</xdr:rowOff>
    </xdr:from>
    <xdr:to>
      <xdr:col>15</xdr:col>
      <xdr:colOff>2124075</xdr:colOff>
      <xdr:row>18</xdr:row>
      <xdr:rowOff>57150</xdr:rowOff>
    </xdr:to>
    <xdr:cxnSp macro="">
      <xdr:nvCxnSpPr>
        <xdr:cNvPr id="71" name="9 Conector recto"/>
        <xdr:cNvCxnSpPr/>
      </xdr:nvCxnSpPr>
      <xdr:spPr>
        <a:xfrm rot="10800000">
          <a:off x="17583150" y="39624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2028825</xdr:colOff>
      <xdr:row>20</xdr:row>
      <xdr:rowOff>66675</xdr:rowOff>
    </xdr:from>
    <xdr:to>
      <xdr:col>15</xdr:col>
      <xdr:colOff>2143125</xdr:colOff>
      <xdr:row>20</xdr:row>
      <xdr:rowOff>66675</xdr:rowOff>
    </xdr:to>
    <xdr:cxnSp macro="">
      <xdr:nvCxnSpPr>
        <xdr:cNvPr id="72" name="9 Conector recto"/>
        <xdr:cNvCxnSpPr/>
      </xdr:nvCxnSpPr>
      <xdr:spPr>
        <a:xfrm rot="10800000">
          <a:off x="17602200" y="44481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2019300</xdr:colOff>
      <xdr:row>17</xdr:row>
      <xdr:rowOff>38100</xdr:rowOff>
    </xdr:from>
    <xdr:to>
      <xdr:col>15</xdr:col>
      <xdr:colOff>2133600</xdr:colOff>
      <xdr:row>17</xdr:row>
      <xdr:rowOff>38100</xdr:rowOff>
    </xdr:to>
    <xdr:cxnSp macro="">
      <xdr:nvCxnSpPr>
        <xdr:cNvPr id="73" name="8 Conector recto"/>
        <xdr:cNvCxnSpPr/>
      </xdr:nvCxnSpPr>
      <xdr:spPr>
        <a:xfrm rot="10800000">
          <a:off x="17592675" y="36957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2028825</xdr:colOff>
      <xdr:row>19</xdr:row>
      <xdr:rowOff>28575</xdr:rowOff>
    </xdr:from>
    <xdr:to>
      <xdr:col>15</xdr:col>
      <xdr:colOff>2143125</xdr:colOff>
      <xdr:row>19</xdr:row>
      <xdr:rowOff>28575</xdr:rowOff>
    </xdr:to>
    <xdr:cxnSp macro="">
      <xdr:nvCxnSpPr>
        <xdr:cNvPr id="74" name="8 Conector recto"/>
        <xdr:cNvCxnSpPr/>
      </xdr:nvCxnSpPr>
      <xdr:spPr>
        <a:xfrm rot="10800000">
          <a:off x="17602200" y="417195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2638425</xdr:colOff>
      <xdr:row>22</xdr:row>
      <xdr:rowOff>47625</xdr:rowOff>
    </xdr:from>
    <xdr:to>
      <xdr:col>15</xdr:col>
      <xdr:colOff>2800350</xdr:colOff>
      <xdr:row>22</xdr:row>
      <xdr:rowOff>47625</xdr:rowOff>
    </xdr:to>
    <xdr:cxnSp macro="">
      <xdr:nvCxnSpPr>
        <xdr:cNvPr id="75" name="74 Conector recto"/>
        <xdr:cNvCxnSpPr/>
      </xdr:nvCxnSpPr>
      <xdr:spPr>
        <a:xfrm>
          <a:off x="18211800" y="49815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3200400</xdr:colOff>
      <xdr:row>22</xdr:row>
      <xdr:rowOff>38100</xdr:rowOff>
    </xdr:from>
    <xdr:to>
      <xdr:col>15</xdr:col>
      <xdr:colOff>3362325</xdr:colOff>
      <xdr:row>22</xdr:row>
      <xdr:rowOff>38100</xdr:rowOff>
    </xdr:to>
    <xdr:cxnSp macro="">
      <xdr:nvCxnSpPr>
        <xdr:cNvPr id="76" name="75 Conector recto"/>
        <xdr:cNvCxnSpPr/>
      </xdr:nvCxnSpPr>
      <xdr:spPr>
        <a:xfrm>
          <a:off x="18773775" y="49720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3429000</xdr:colOff>
      <xdr:row>25</xdr:row>
      <xdr:rowOff>123825</xdr:rowOff>
    </xdr:from>
    <xdr:to>
      <xdr:col>15</xdr:col>
      <xdr:colOff>3590925</xdr:colOff>
      <xdr:row>25</xdr:row>
      <xdr:rowOff>123825</xdr:rowOff>
    </xdr:to>
    <xdr:cxnSp macro="">
      <xdr:nvCxnSpPr>
        <xdr:cNvPr id="77" name="76 Conector recto"/>
        <xdr:cNvCxnSpPr/>
      </xdr:nvCxnSpPr>
      <xdr:spPr>
        <a:xfrm>
          <a:off x="19002375" y="60007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193459</xdr:colOff>
      <xdr:row>26</xdr:row>
      <xdr:rowOff>283670</xdr:rowOff>
    </xdr:from>
    <xdr:to>
      <xdr:col>19</xdr:col>
      <xdr:colOff>488732</xdr:colOff>
      <xdr:row>26</xdr:row>
      <xdr:rowOff>283670</xdr:rowOff>
    </xdr:to>
    <xdr:cxnSp macro="">
      <xdr:nvCxnSpPr>
        <xdr:cNvPr id="79" name="78 Conector recto"/>
        <xdr:cNvCxnSpPr/>
      </xdr:nvCxnSpPr>
      <xdr:spPr>
        <a:xfrm rot="10800000">
          <a:off x="20596009" y="6474920"/>
          <a:ext cx="1876423"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1952406</xdr:colOff>
      <xdr:row>28</xdr:row>
      <xdr:rowOff>73353</xdr:rowOff>
    </xdr:from>
    <xdr:to>
      <xdr:col>15</xdr:col>
      <xdr:colOff>2114331</xdr:colOff>
      <xdr:row>28</xdr:row>
      <xdr:rowOff>73353</xdr:rowOff>
    </xdr:to>
    <xdr:cxnSp macro="">
      <xdr:nvCxnSpPr>
        <xdr:cNvPr id="80" name="79 Conector recto"/>
        <xdr:cNvCxnSpPr/>
      </xdr:nvCxnSpPr>
      <xdr:spPr>
        <a:xfrm>
          <a:off x="17525781" y="6188403"/>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1945728</xdr:colOff>
      <xdr:row>28</xdr:row>
      <xdr:rowOff>28575</xdr:rowOff>
    </xdr:from>
    <xdr:to>
      <xdr:col>15</xdr:col>
      <xdr:colOff>2107653</xdr:colOff>
      <xdr:row>28</xdr:row>
      <xdr:rowOff>28575</xdr:rowOff>
    </xdr:to>
    <xdr:cxnSp macro="">
      <xdr:nvCxnSpPr>
        <xdr:cNvPr id="81" name="80 Conector recto"/>
        <xdr:cNvCxnSpPr/>
      </xdr:nvCxnSpPr>
      <xdr:spPr>
        <a:xfrm>
          <a:off x="17519103" y="68865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2505294</xdr:colOff>
      <xdr:row>30</xdr:row>
      <xdr:rowOff>23320</xdr:rowOff>
    </xdr:from>
    <xdr:to>
      <xdr:col>15</xdr:col>
      <xdr:colOff>2667219</xdr:colOff>
      <xdr:row>30</xdr:row>
      <xdr:rowOff>23320</xdr:rowOff>
    </xdr:to>
    <xdr:cxnSp macro="">
      <xdr:nvCxnSpPr>
        <xdr:cNvPr id="82" name="81 Conector recto"/>
        <xdr:cNvCxnSpPr/>
      </xdr:nvCxnSpPr>
      <xdr:spPr>
        <a:xfrm>
          <a:off x="19859844" y="693847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2129002</xdr:colOff>
      <xdr:row>31</xdr:row>
      <xdr:rowOff>23429</xdr:rowOff>
    </xdr:from>
    <xdr:to>
      <xdr:col>15</xdr:col>
      <xdr:colOff>2795752</xdr:colOff>
      <xdr:row>31</xdr:row>
      <xdr:rowOff>23429</xdr:rowOff>
    </xdr:to>
    <xdr:cxnSp macro="">
      <xdr:nvCxnSpPr>
        <xdr:cNvPr id="83" name="82 Conector recto"/>
        <xdr:cNvCxnSpPr/>
      </xdr:nvCxnSpPr>
      <xdr:spPr>
        <a:xfrm>
          <a:off x="17702377" y="7062404"/>
          <a:ext cx="66675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2506717</xdr:colOff>
      <xdr:row>30</xdr:row>
      <xdr:rowOff>43794</xdr:rowOff>
    </xdr:from>
    <xdr:to>
      <xdr:col>15</xdr:col>
      <xdr:colOff>2668642</xdr:colOff>
      <xdr:row>30</xdr:row>
      <xdr:rowOff>43794</xdr:rowOff>
    </xdr:to>
    <xdr:cxnSp macro="">
      <xdr:nvCxnSpPr>
        <xdr:cNvPr id="84" name="83 Conector recto"/>
        <xdr:cNvCxnSpPr/>
      </xdr:nvCxnSpPr>
      <xdr:spPr>
        <a:xfrm>
          <a:off x="19861267" y="6958944"/>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361950</xdr:colOff>
      <xdr:row>30</xdr:row>
      <xdr:rowOff>28575</xdr:rowOff>
    </xdr:from>
    <xdr:to>
      <xdr:col>16</xdr:col>
      <xdr:colOff>466725</xdr:colOff>
      <xdr:row>30</xdr:row>
      <xdr:rowOff>28575</xdr:rowOff>
    </xdr:to>
    <xdr:cxnSp macro="">
      <xdr:nvCxnSpPr>
        <xdr:cNvPr id="86" name="85 Conector recto"/>
        <xdr:cNvCxnSpPr/>
      </xdr:nvCxnSpPr>
      <xdr:spPr>
        <a:xfrm>
          <a:off x="19973925" y="6810375"/>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133350</xdr:colOff>
      <xdr:row>31</xdr:row>
      <xdr:rowOff>28575</xdr:rowOff>
    </xdr:from>
    <xdr:to>
      <xdr:col>20</xdr:col>
      <xdr:colOff>561975</xdr:colOff>
      <xdr:row>31</xdr:row>
      <xdr:rowOff>28577</xdr:rowOff>
    </xdr:to>
    <xdr:cxnSp macro="">
      <xdr:nvCxnSpPr>
        <xdr:cNvPr id="87" name="86 Conector recto"/>
        <xdr:cNvCxnSpPr/>
      </xdr:nvCxnSpPr>
      <xdr:spPr>
        <a:xfrm rot="10800000" flipV="1">
          <a:off x="19745325" y="7067550"/>
          <a:ext cx="3590925" cy="2"/>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381000</xdr:colOff>
      <xdr:row>22</xdr:row>
      <xdr:rowOff>19050</xdr:rowOff>
    </xdr:from>
    <xdr:to>
      <xdr:col>15</xdr:col>
      <xdr:colOff>476250</xdr:colOff>
      <xdr:row>22</xdr:row>
      <xdr:rowOff>19050</xdr:rowOff>
    </xdr:to>
    <xdr:cxnSp macro="">
      <xdr:nvCxnSpPr>
        <xdr:cNvPr id="88" name="87 Conector recto"/>
        <xdr:cNvCxnSpPr/>
      </xdr:nvCxnSpPr>
      <xdr:spPr>
        <a:xfrm>
          <a:off x="15954375" y="49530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1600200</xdr:colOff>
      <xdr:row>22</xdr:row>
      <xdr:rowOff>9525</xdr:rowOff>
    </xdr:from>
    <xdr:to>
      <xdr:col>15</xdr:col>
      <xdr:colOff>1695450</xdr:colOff>
      <xdr:row>22</xdr:row>
      <xdr:rowOff>9525</xdr:rowOff>
    </xdr:to>
    <xdr:cxnSp macro="">
      <xdr:nvCxnSpPr>
        <xdr:cNvPr id="89" name="88 Conector recto"/>
        <xdr:cNvCxnSpPr/>
      </xdr:nvCxnSpPr>
      <xdr:spPr>
        <a:xfrm>
          <a:off x="17173575" y="494347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495300</xdr:colOff>
      <xdr:row>30</xdr:row>
      <xdr:rowOff>38100</xdr:rowOff>
    </xdr:from>
    <xdr:to>
      <xdr:col>19</xdr:col>
      <xdr:colOff>600075</xdr:colOff>
      <xdr:row>30</xdr:row>
      <xdr:rowOff>38100</xdr:rowOff>
    </xdr:to>
    <xdr:cxnSp macro="">
      <xdr:nvCxnSpPr>
        <xdr:cNvPr id="93" name="92 Conector recto"/>
        <xdr:cNvCxnSpPr/>
      </xdr:nvCxnSpPr>
      <xdr:spPr>
        <a:xfrm>
          <a:off x="22479000" y="681990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504825</xdr:colOff>
      <xdr:row>30</xdr:row>
      <xdr:rowOff>9525</xdr:rowOff>
    </xdr:from>
    <xdr:to>
      <xdr:col>19</xdr:col>
      <xdr:colOff>609600</xdr:colOff>
      <xdr:row>30</xdr:row>
      <xdr:rowOff>9525</xdr:rowOff>
    </xdr:to>
    <xdr:cxnSp macro="">
      <xdr:nvCxnSpPr>
        <xdr:cNvPr id="94" name="93 Conector recto"/>
        <xdr:cNvCxnSpPr/>
      </xdr:nvCxnSpPr>
      <xdr:spPr>
        <a:xfrm>
          <a:off x="22488525" y="6791325"/>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400050</xdr:colOff>
      <xdr:row>30</xdr:row>
      <xdr:rowOff>57150</xdr:rowOff>
    </xdr:from>
    <xdr:to>
      <xdr:col>20</xdr:col>
      <xdr:colOff>504825</xdr:colOff>
      <xdr:row>30</xdr:row>
      <xdr:rowOff>57150</xdr:rowOff>
    </xdr:to>
    <xdr:cxnSp macro="">
      <xdr:nvCxnSpPr>
        <xdr:cNvPr id="95" name="94 Conector recto"/>
        <xdr:cNvCxnSpPr/>
      </xdr:nvCxnSpPr>
      <xdr:spPr>
        <a:xfrm>
          <a:off x="23174325" y="683895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400050</xdr:colOff>
      <xdr:row>30</xdr:row>
      <xdr:rowOff>19050</xdr:rowOff>
    </xdr:from>
    <xdr:to>
      <xdr:col>20</xdr:col>
      <xdr:colOff>504825</xdr:colOff>
      <xdr:row>30</xdr:row>
      <xdr:rowOff>19050</xdr:rowOff>
    </xdr:to>
    <xdr:cxnSp macro="">
      <xdr:nvCxnSpPr>
        <xdr:cNvPr id="96" name="95 Conector recto"/>
        <xdr:cNvCxnSpPr/>
      </xdr:nvCxnSpPr>
      <xdr:spPr>
        <a:xfrm>
          <a:off x="23174325" y="680085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361950</xdr:colOff>
      <xdr:row>30</xdr:row>
      <xdr:rowOff>47625</xdr:rowOff>
    </xdr:from>
    <xdr:to>
      <xdr:col>17</xdr:col>
      <xdr:colOff>466725</xdr:colOff>
      <xdr:row>30</xdr:row>
      <xdr:rowOff>47625</xdr:rowOff>
    </xdr:to>
    <xdr:cxnSp macro="">
      <xdr:nvCxnSpPr>
        <xdr:cNvPr id="97" name="96 Conector recto"/>
        <xdr:cNvCxnSpPr/>
      </xdr:nvCxnSpPr>
      <xdr:spPr>
        <a:xfrm>
          <a:off x="20764500" y="6829425"/>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3429000</xdr:colOff>
      <xdr:row>25</xdr:row>
      <xdr:rowOff>161925</xdr:rowOff>
    </xdr:from>
    <xdr:to>
      <xdr:col>15</xdr:col>
      <xdr:colOff>3600450</xdr:colOff>
      <xdr:row>25</xdr:row>
      <xdr:rowOff>161925</xdr:rowOff>
    </xdr:to>
    <xdr:cxnSp macro="">
      <xdr:nvCxnSpPr>
        <xdr:cNvPr id="98" name="97 Conector recto"/>
        <xdr:cNvCxnSpPr/>
      </xdr:nvCxnSpPr>
      <xdr:spPr>
        <a:xfrm>
          <a:off x="19002375" y="6038850"/>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361950</xdr:colOff>
      <xdr:row>30</xdr:row>
      <xdr:rowOff>19050</xdr:rowOff>
    </xdr:from>
    <xdr:to>
      <xdr:col>17</xdr:col>
      <xdr:colOff>466725</xdr:colOff>
      <xdr:row>30</xdr:row>
      <xdr:rowOff>19050</xdr:rowOff>
    </xdr:to>
    <xdr:cxnSp macro="">
      <xdr:nvCxnSpPr>
        <xdr:cNvPr id="99" name="98 Conector recto"/>
        <xdr:cNvCxnSpPr/>
      </xdr:nvCxnSpPr>
      <xdr:spPr>
        <a:xfrm>
          <a:off x="20764500" y="680085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390525</xdr:colOff>
      <xdr:row>30</xdr:row>
      <xdr:rowOff>38100</xdr:rowOff>
    </xdr:from>
    <xdr:to>
      <xdr:col>18</xdr:col>
      <xdr:colOff>495300</xdr:colOff>
      <xdr:row>30</xdr:row>
      <xdr:rowOff>38100</xdr:rowOff>
    </xdr:to>
    <xdr:cxnSp macro="">
      <xdr:nvCxnSpPr>
        <xdr:cNvPr id="100" name="99 Conector recto"/>
        <xdr:cNvCxnSpPr/>
      </xdr:nvCxnSpPr>
      <xdr:spPr>
        <a:xfrm>
          <a:off x="21583650" y="681990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390525</xdr:colOff>
      <xdr:row>30</xdr:row>
      <xdr:rowOff>0</xdr:rowOff>
    </xdr:from>
    <xdr:to>
      <xdr:col>18</xdr:col>
      <xdr:colOff>495300</xdr:colOff>
      <xdr:row>30</xdr:row>
      <xdr:rowOff>0</xdr:rowOff>
    </xdr:to>
    <xdr:cxnSp macro="">
      <xdr:nvCxnSpPr>
        <xdr:cNvPr id="101" name="100 Conector recto"/>
        <xdr:cNvCxnSpPr/>
      </xdr:nvCxnSpPr>
      <xdr:spPr>
        <a:xfrm>
          <a:off x="21583650" y="678180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2558284</xdr:colOff>
      <xdr:row>95</xdr:row>
      <xdr:rowOff>24743</xdr:rowOff>
    </xdr:from>
    <xdr:to>
      <xdr:col>0</xdr:col>
      <xdr:colOff>3390353</xdr:colOff>
      <xdr:row>95</xdr:row>
      <xdr:rowOff>24749</xdr:rowOff>
    </xdr:to>
    <xdr:cxnSp macro="">
      <xdr:nvCxnSpPr>
        <xdr:cNvPr id="106" name="105 Conector recto"/>
        <xdr:cNvCxnSpPr/>
      </xdr:nvCxnSpPr>
      <xdr:spPr>
        <a:xfrm flipV="1">
          <a:off x="2558284" y="27752018"/>
          <a:ext cx="832069"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2582589</xdr:colOff>
      <xdr:row>96</xdr:row>
      <xdr:rowOff>158094</xdr:rowOff>
    </xdr:from>
    <xdr:to>
      <xdr:col>0</xdr:col>
      <xdr:colOff>3469399</xdr:colOff>
      <xdr:row>96</xdr:row>
      <xdr:rowOff>158100</xdr:rowOff>
    </xdr:to>
    <xdr:cxnSp macro="">
      <xdr:nvCxnSpPr>
        <xdr:cNvPr id="107" name="106 Conector recto"/>
        <xdr:cNvCxnSpPr/>
      </xdr:nvCxnSpPr>
      <xdr:spPr>
        <a:xfrm flipV="1">
          <a:off x="2582589" y="28161594"/>
          <a:ext cx="886810"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2366360</xdr:colOff>
      <xdr:row>99</xdr:row>
      <xdr:rowOff>34268</xdr:rowOff>
    </xdr:from>
    <xdr:to>
      <xdr:col>0</xdr:col>
      <xdr:colOff>3329808</xdr:colOff>
      <xdr:row>99</xdr:row>
      <xdr:rowOff>34274</xdr:rowOff>
    </xdr:to>
    <xdr:cxnSp macro="">
      <xdr:nvCxnSpPr>
        <xdr:cNvPr id="108" name="107 Conector recto"/>
        <xdr:cNvCxnSpPr/>
      </xdr:nvCxnSpPr>
      <xdr:spPr>
        <a:xfrm flipV="1">
          <a:off x="2366360" y="28590218"/>
          <a:ext cx="963448"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2226332</xdr:colOff>
      <xdr:row>101</xdr:row>
      <xdr:rowOff>50909</xdr:rowOff>
    </xdr:from>
    <xdr:to>
      <xdr:col>0</xdr:col>
      <xdr:colOff>2388257</xdr:colOff>
      <xdr:row>101</xdr:row>
      <xdr:rowOff>50909</xdr:rowOff>
    </xdr:to>
    <xdr:cxnSp macro="">
      <xdr:nvCxnSpPr>
        <xdr:cNvPr id="110" name="109 Conector recto"/>
        <xdr:cNvCxnSpPr/>
      </xdr:nvCxnSpPr>
      <xdr:spPr>
        <a:xfrm>
          <a:off x="2226332" y="29435534"/>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2233011</xdr:colOff>
      <xdr:row>101</xdr:row>
      <xdr:rowOff>75214</xdr:rowOff>
    </xdr:from>
    <xdr:to>
      <xdr:col>0</xdr:col>
      <xdr:colOff>2394936</xdr:colOff>
      <xdr:row>101</xdr:row>
      <xdr:rowOff>75214</xdr:rowOff>
    </xdr:to>
    <xdr:cxnSp macro="">
      <xdr:nvCxnSpPr>
        <xdr:cNvPr id="111" name="110 Conector recto"/>
        <xdr:cNvCxnSpPr/>
      </xdr:nvCxnSpPr>
      <xdr:spPr>
        <a:xfrm>
          <a:off x="2233011" y="29459839"/>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2550949</xdr:colOff>
      <xdr:row>101</xdr:row>
      <xdr:rowOff>65689</xdr:rowOff>
    </xdr:from>
    <xdr:to>
      <xdr:col>2</xdr:col>
      <xdr:colOff>2712874</xdr:colOff>
      <xdr:row>101</xdr:row>
      <xdr:rowOff>65689</xdr:rowOff>
    </xdr:to>
    <xdr:cxnSp macro="">
      <xdr:nvCxnSpPr>
        <xdr:cNvPr id="114" name="113 Conector recto"/>
        <xdr:cNvCxnSpPr/>
      </xdr:nvCxnSpPr>
      <xdr:spPr>
        <a:xfrm>
          <a:off x="6275224" y="30202789"/>
          <a:ext cx="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101</xdr:row>
      <xdr:rowOff>19050</xdr:rowOff>
    </xdr:from>
    <xdr:to>
      <xdr:col>3</xdr:col>
      <xdr:colOff>828675</xdr:colOff>
      <xdr:row>101</xdr:row>
      <xdr:rowOff>19050</xdr:rowOff>
    </xdr:to>
    <xdr:cxnSp macro="">
      <xdr:nvCxnSpPr>
        <xdr:cNvPr id="115" name="114 Conector recto"/>
        <xdr:cNvCxnSpPr/>
      </xdr:nvCxnSpPr>
      <xdr:spPr>
        <a:xfrm>
          <a:off x="6448425" y="29403675"/>
          <a:ext cx="6572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407495</xdr:colOff>
      <xdr:row>101</xdr:row>
      <xdr:rowOff>70946</xdr:rowOff>
    </xdr:from>
    <xdr:to>
      <xdr:col>3</xdr:col>
      <xdr:colOff>569420</xdr:colOff>
      <xdr:row>101</xdr:row>
      <xdr:rowOff>70946</xdr:rowOff>
    </xdr:to>
    <xdr:cxnSp macro="">
      <xdr:nvCxnSpPr>
        <xdr:cNvPr id="116" name="115 Conector recto"/>
        <xdr:cNvCxnSpPr/>
      </xdr:nvCxnSpPr>
      <xdr:spPr>
        <a:xfrm>
          <a:off x="6684470" y="29455571"/>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408918</xdr:colOff>
      <xdr:row>101</xdr:row>
      <xdr:rowOff>94263</xdr:rowOff>
    </xdr:from>
    <xdr:to>
      <xdr:col>3</xdr:col>
      <xdr:colOff>570843</xdr:colOff>
      <xdr:row>101</xdr:row>
      <xdr:rowOff>94263</xdr:rowOff>
    </xdr:to>
    <xdr:cxnSp macro="">
      <xdr:nvCxnSpPr>
        <xdr:cNvPr id="117" name="116 Conector recto"/>
        <xdr:cNvCxnSpPr/>
      </xdr:nvCxnSpPr>
      <xdr:spPr>
        <a:xfrm>
          <a:off x="6685893" y="29478888"/>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529787</xdr:colOff>
      <xdr:row>97</xdr:row>
      <xdr:rowOff>12372</xdr:rowOff>
    </xdr:from>
    <xdr:to>
      <xdr:col>4</xdr:col>
      <xdr:colOff>386036</xdr:colOff>
      <xdr:row>97</xdr:row>
      <xdr:rowOff>12378</xdr:rowOff>
    </xdr:to>
    <xdr:cxnSp macro="">
      <xdr:nvCxnSpPr>
        <xdr:cNvPr id="118" name="117 Conector recto"/>
        <xdr:cNvCxnSpPr/>
      </xdr:nvCxnSpPr>
      <xdr:spPr>
        <a:xfrm flipV="1">
          <a:off x="5939987" y="28292097"/>
          <a:ext cx="1580274"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1434224</xdr:colOff>
      <xdr:row>61</xdr:row>
      <xdr:rowOff>54742</xdr:rowOff>
    </xdr:from>
    <xdr:to>
      <xdr:col>1</xdr:col>
      <xdr:colOff>2266293</xdr:colOff>
      <xdr:row>61</xdr:row>
      <xdr:rowOff>54748</xdr:rowOff>
    </xdr:to>
    <xdr:cxnSp macro="">
      <xdr:nvCxnSpPr>
        <xdr:cNvPr id="119" name="118 Conector recto"/>
        <xdr:cNvCxnSpPr/>
      </xdr:nvCxnSpPr>
      <xdr:spPr>
        <a:xfrm flipV="1">
          <a:off x="5406149" y="17456917"/>
          <a:ext cx="3394"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2286000</xdr:colOff>
      <xdr:row>56</xdr:row>
      <xdr:rowOff>0</xdr:rowOff>
    </xdr:from>
    <xdr:to>
      <xdr:col>0</xdr:col>
      <xdr:colOff>2447925</xdr:colOff>
      <xdr:row>56</xdr:row>
      <xdr:rowOff>0</xdr:rowOff>
    </xdr:to>
    <xdr:cxnSp macro="">
      <xdr:nvCxnSpPr>
        <xdr:cNvPr id="120" name="119 Conector recto"/>
        <xdr:cNvCxnSpPr/>
      </xdr:nvCxnSpPr>
      <xdr:spPr>
        <a:xfrm>
          <a:off x="2286000" y="1351597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2286000</xdr:colOff>
      <xdr:row>56</xdr:row>
      <xdr:rowOff>28575</xdr:rowOff>
    </xdr:from>
    <xdr:to>
      <xdr:col>0</xdr:col>
      <xdr:colOff>2447925</xdr:colOff>
      <xdr:row>56</xdr:row>
      <xdr:rowOff>28575</xdr:rowOff>
    </xdr:to>
    <xdr:cxnSp macro="">
      <xdr:nvCxnSpPr>
        <xdr:cNvPr id="121" name="120 Conector recto"/>
        <xdr:cNvCxnSpPr/>
      </xdr:nvCxnSpPr>
      <xdr:spPr>
        <a:xfrm>
          <a:off x="2286000" y="135445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2573940</xdr:colOff>
      <xdr:row>66</xdr:row>
      <xdr:rowOff>38537</xdr:rowOff>
    </xdr:from>
    <xdr:to>
      <xdr:col>0</xdr:col>
      <xdr:colOff>2735865</xdr:colOff>
      <xdr:row>66</xdr:row>
      <xdr:rowOff>38537</xdr:rowOff>
    </xdr:to>
    <xdr:cxnSp macro="">
      <xdr:nvCxnSpPr>
        <xdr:cNvPr id="123" name="122 Conector recto"/>
        <xdr:cNvCxnSpPr/>
      </xdr:nvCxnSpPr>
      <xdr:spPr>
        <a:xfrm>
          <a:off x="2573940" y="17621687"/>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2567262</xdr:colOff>
      <xdr:row>66</xdr:row>
      <xdr:rowOff>70944</xdr:rowOff>
    </xdr:from>
    <xdr:to>
      <xdr:col>0</xdr:col>
      <xdr:colOff>2729187</xdr:colOff>
      <xdr:row>66</xdr:row>
      <xdr:rowOff>70944</xdr:rowOff>
    </xdr:to>
    <xdr:cxnSp macro="">
      <xdr:nvCxnSpPr>
        <xdr:cNvPr id="124" name="123 Conector recto"/>
        <xdr:cNvCxnSpPr/>
      </xdr:nvCxnSpPr>
      <xdr:spPr>
        <a:xfrm>
          <a:off x="2567262" y="18959019"/>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799771</xdr:colOff>
      <xdr:row>68</xdr:row>
      <xdr:rowOff>176705</xdr:rowOff>
    </xdr:from>
    <xdr:to>
      <xdr:col>4</xdr:col>
      <xdr:colOff>410521</xdr:colOff>
      <xdr:row>68</xdr:row>
      <xdr:rowOff>176705</xdr:rowOff>
    </xdr:to>
    <xdr:cxnSp macro="">
      <xdr:nvCxnSpPr>
        <xdr:cNvPr id="125" name="124 Conector recto"/>
        <xdr:cNvCxnSpPr/>
      </xdr:nvCxnSpPr>
      <xdr:spPr>
        <a:xfrm flipV="1">
          <a:off x="7076746" y="18731405"/>
          <a:ext cx="4680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1434224</xdr:colOff>
      <xdr:row>68</xdr:row>
      <xdr:rowOff>54742</xdr:rowOff>
    </xdr:from>
    <xdr:to>
      <xdr:col>1</xdr:col>
      <xdr:colOff>2266293</xdr:colOff>
      <xdr:row>68</xdr:row>
      <xdr:rowOff>54748</xdr:rowOff>
    </xdr:to>
    <xdr:cxnSp macro="">
      <xdr:nvCxnSpPr>
        <xdr:cNvPr id="126" name="125 Conector recto"/>
        <xdr:cNvCxnSpPr/>
      </xdr:nvCxnSpPr>
      <xdr:spPr>
        <a:xfrm flipV="1">
          <a:off x="5406149" y="19904842"/>
          <a:ext cx="3394"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2138307</xdr:colOff>
      <xdr:row>72</xdr:row>
      <xdr:rowOff>722264</xdr:rowOff>
    </xdr:from>
    <xdr:to>
      <xdr:col>0</xdr:col>
      <xdr:colOff>2819400</xdr:colOff>
      <xdr:row>72</xdr:row>
      <xdr:rowOff>723900</xdr:rowOff>
    </xdr:to>
    <xdr:cxnSp macro="">
      <xdr:nvCxnSpPr>
        <xdr:cNvPr id="127" name="126 Conector recto"/>
        <xdr:cNvCxnSpPr/>
      </xdr:nvCxnSpPr>
      <xdr:spPr>
        <a:xfrm>
          <a:off x="2138307" y="20334239"/>
          <a:ext cx="681093" cy="163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2554890</xdr:colOff>
      <xdr:row>73</xdr:row>
      <xdr:rowOff>171887</xdr:rowOff>
    </xdr:from>
    <xdr:to>
      <xdr:col>0</xdr:col>
      <xdr:colOff>2716815</xdr:colOff>
      <xdr:row>73</xdr:row>
      <xdr:rowOff>171887</xdr:rowOff>
    </xdr:to>
    <xdr:cxnSp macro="">
      <xdr:nvCxnSpPr>
        <xdr:cNvPr id="128" name="127 Conector recto"/>
        <xdr:cNvCxnSpPr/>
      </xdr:nvCxnSpPr>
      <xdr:spPr>
        <a:xfrm>
          <a:off x="2554890" y="21822212"/>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2548212</xdr:colOff>
      <xdr:row>73</xdr:row>
      <xdr:rowOff>137619</xdr:rowOff>
    </xdr:from>
    <xdr:to>
      <xdr:col>0</xdr:col>
      <xdr:colOff>2710137</xdr:colOff>
      <xdr:row>73</xdr:row>
      <xdr:rowOff>137619</xdr:rowOff>
    </xdr:to>
    <xdr:cxnSp macro="">
      <xdr:nvCxnSpPr>
        <xdr:cNvPr id="129" name="128 Conector recto"/>
        <xdr:cNvCxnSpPr/>
      </xdr:nvCxnSpPr>
      <xdr:spPr>
        <a:xfrm>
          <a:off x="2548212" y="21787944"/>
          <a:ext cx="161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1434224</xdr:colOff>
      <xdr:row>77</xdr:row>
      <xdr:rowOff>54742</xdr:rowOff>
    </xdr:from>
    <xdr:to>
      <xdr:col>1</xdr:col>
      <xdr:colOff>2266293</xdr:colOff>
      <xdr:row>77</xdr:row>
      <xdr:rowOff>54748</xdr:rowOff>
    </xdr:to>
    <xdr:cxnSp macro="">
      <xdr:nvCxnSpPr>
        <xdr:cNvPr id="131" name="130 Conector recto"/>
        <xdr:cNvCxnSpPr/>
      </xdr:nvCxnSpPr>
      <xdr:spPr>
        <a:xfrm flipV="1">
          <a:off x="5406149" y="22695667"/>
          <a:ext cx="3394" cy="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2006381</xdr:colOff>
      <xdr:row>79</xdr:row>
      <xdr:rowOff>766</xdr:rowOff>
    </xdr:from>
    <xdr:to>
      <xdr:col>0</xdr:col>
      <xdr:colOff>2838450</xdr:colOff>
      <xdr:row>79</xdr:row>
      <xdr:rowOff>772</xdr:rowOff>
    </xdr:to>
    <xdr:cxnSp macro="">
      <xdr:nvCxnSpPr>
        <xdr:cNvPr id="132" name="131 Conector recto"/>
        <xdr:cNvCxnSpPr/>
      </xdr:nvCxnSpPr>
      <xdr:spPr>
        <a:xfrm flipV="1">
          <a:off x="2006381" y="23337016"/>
          <a:ext cx="832069" cy="6"/>
        </a:xfrm>
        <a:prstGeom prst="line">
          <a:avLst/>
        </a:prstGeom>
        <a:ln w="12700">
          <a:solidFill>
            <a:schemeClr val="bg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2335815</xdr:colOff>
      <xdr:row>79</xdr:row>
      <xdr:rowOff>67112</xdr:rowOff>
    </xdr:from>
    <xdr:to>
      <xdr:col>0</xdr:col>
      <xdr:colOff>2497740</xdr:colOff>
      <xdr:row>79</xdr:row>
      <xdr:rowOff>67112</xdr:rowOff>
    </xdr:to>
    <xdr:cxnSp macro="">
      <xdr:nvCxnSpPr>
        <xdr:cNvPr id="133" name="132 Conector recto"/>
        <xdr:cNvCxnSpPr/>
      </xdr:nvCxnSpPr>
      <xdr:spPr>
        <a:xfrm>
          <a:off x="2335815" y="23403362"/>
          <a:ext cx="161925"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2329137</xdr:colOff>
      <xdr:row>79</xdr:row>
      <xdr:rowOff>109044</xdr:rowOff>
    </xdr:from>
    <xdr:to>
      <xdr:col>0</xdr:col>
      <xdr:colOff>2491062</xdr:colOff>
      <xdr:row>79</xdr:row>
      <xdr:rowOff>109044</xdr:rowOff>
    </xdr:to>
    <xdr:cxnSp macro="">
      <xdr:nvCxnSpPr>
        <xdr:cNvPr id="134" name="133 Conector recto"/>
        <xdr:cNvCxnSpPr/>
      </xdr:nvCxnSpPr>
      <xdr:spPr>
        <a:xfrm>
          <a:off x="2329137" y="23445294"/>
          <a:ext cx="161925"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359322</xdr:colOff>
      <xdr:row>74</xdr:row>
      <xdr:rowOff>152400</xdr:rowOff>
    </xdr:from>
    <xdr:to>
      <xdr:col>4</xdr:col>
      <xdr:colOff>1247775</xdr:colOff>
      <xdr:row>74</xdr:row>
      <xdr:rowOff>154267</xdr:rowOff>
    </xdr:to>
    <xdr:cxnSp macro="">
      <xdr:nvCxnSpPr>
        <xdr:cNvPr id="135" name="134 Conector recto"/>
        <xdr:cNvCxnSpPr/>
      </xdr:nvCxnSpPr>
      <xdr:spPr>
        <a:xfrm flipV="1">
          <a:off x="7493547" y="20964525"/>
          <a:ext cx="888453" cy="1867"/>
        </a:xfrm>
        <a:prstGeom prst="line">
          <a:avLst/>
        </a:prstGeom>
        <a:ln w="12700">
          <a:solidFill>
            <a:schemeClr val="bg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151057</xdr:colOff>
      <xdr:row>55</xdr:row>
      <xdr:rowOff>142229</xdr:rowOff>
    </xdr:from>
    <xdr:to>
      <xdr:col>20</xdr:col>
      <xdr:colOff>129048</xdr:colOff>
      <xdr:row>55</xdr:row>
      <xdr:rowOff>144309</xdr:rowOff>
    </xdr:to>
    <xdr:cxnSp macro="">
      <xdr:nvCxnSpPr>
        <xdr:cNvPr id="142" name="78 Conector recto"/>
        <xdr:cNvCxnSpPr/>
      </xdr:nvCxnSpPr>
      <xdr:spPr>
        <a:xfrm flipH="1" flipV="1">
          <a:off x="23922589" y="13221181"/>
          <a:ext cx="766620" cy="208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361950</xdr:colOff>
      <xdr:row>30</xdr:row>
      <xdr:rowOff>28575</xdr:rowOff>
    </xdr:from>
    <xdr:to>
      <xdr:col>16</xdr:col>
      <xdr:colOff>466725</xdr:colOff>
      <xdr:row>30</xdr:row>
      <xdr:rowOff>28575</xdr:rowOff>
    </xdr:to>
    <xdr:cxnSp macro="">
      <xdr:nvCxnSpPr>
        <xdr:cNvPr id="150" name="85 Conector recto"/>
        <xdr:cNvCxnSpPr/>
      </xdr:nvCxnSpPr>
      <xdr:spPr>
        <a:xfrm>
          <a:off x="19973925" y="6810375"/>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133350</xdr:colOff>
      <xdr:row>31</xdr:row>
      <xdr:rowOff>28575</xdr:rowOff>
    </xdr:from>
    <xdr:to>
      <xdr:col>20</xdr:col>
      <xdr:colOff>561975</xdr:colOff>
      <xdr:row>31</xdr:row>
      <xdr:rowOff>28577</xdr:rowOff>
    </xdr:to>
    <xdr:cxnSp macro="">
      <xdr:nvCxnSpPr>
        <xdr:cNvPr id="151" name="86 Conector recto"/>
        <xdr:cNvCxnSpPr/>
      </xdr:nvCxnSpPr>
      <xdr:spPr>
        <a:xfrm rot="10800000" flipV="1">
          <a:off x="19745325" y="7077075"/>
          <a:ext cx="3590925" cy="2"/>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371475</xdr:colOff>
      <xdr:row>30</xdr:row>
      <xdr:rowOff>57150</xdr:rowOff>
    </xdr:from>
    <xdr:to>
      <xdr:col>16</xdr:col>
      <xdr:colOff>466725</xdr:colOff>
      <xdr:row>30</xdr:row>
      <xdr:rowOff>57150</xdr:rowOff>
    </xdr:to>
    <xdr:cxnSp macro="">
      <xdr:nvCxnSpPr>
        <xdr:cNvPr id="152" name="87 Conector recto"/>
        <xdr:cNvCxnSpPr/>
      </xdr:nvCxnSpPr>
      <xdr:spPr>
        <a:xfrm>
          <a:off x="19983450" y="69151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1019175</xdr:colOff>
      <xdr:row>22</xdr:row>
      <xdr:rowOff>0</xdr:rowOff>
    </xdr:from>
    <xdr:to>
      <xdr:col>15</xdr:col>
      <xdr:colOff>1114425</xdr:colOff>
      <xdr:row>22</xdr:row>
      <xdr:rowOff>0</xdr:rowOff>
    </xdr:to>
    <xdr:cxnSp macro="">
      <xdr:nvCxnSpPr>
        <xdr:cNvPr id="153" name="88 Conector recto"/>
        <xdr:cNvCxnSpPr/>
      </xdr:nvCxnSpPr>
      <xdr:spPr>
        <a:xfrm>
          <a:off x="16592550" y="49339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2133600</xdr:colOff>
      <xdr:row>22</xdr:row>
      <xdr:rowOff>19050</xdr:rowOff>
    </xdr:from>
    <xdr:to>
      <xdr:col>15</xdr:col>
      <xdr:colOff>2228850</xdr:colOff>
      <xdr:row>22</xdr:row>
      <xdr:rowOff>19050</xdr:rowOff>
    </xdr:to>
    <xdr:cxnSp macro="">
      <xdr:nvCxnSpPr>
        <xdr:cNvPr id="154" name="89 Conector recto"/>
        <xdr:cNvCxnSpPr/>
      </xdr:nvCxnSpPr>
      <xdr:spPr>
        <a:xfrm>
          <a:off x="17706975" y="49530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2657475</xdr:colOff>
      <xdr:row>22</xdr:row>
      <xdr:rowOff>0</xdr:rowOff>
    </xdr:from>
    <xdr:to>
      <xdr:col>15</xdr:col>
      <xdr:colOff>2752725</xdr:colOff>
      <xdr:row>22</xdr:row>
      <xdr:rowOff>0</xdr:rowOff>
    </xdr:to>
    <xdr:cxnSp macro="">
      <xdr:nvCxnSpPr>
        <xdr:cNvPr id="155" name="90 Conector recto"/>
        <xdr:cNvCxnSpPr/>
      </xdr:nvCxnSpPr>
      <xdr:spPr>
        <a:xfrm>
          <a:off x="18230850" y="49339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3200400</xdr:colOff>
      <xdr:row>21</xdr:row>
      <xdr:rowOff>238125</xdr:rowOff>
    </xdr:from>
    <xdr:to>
      <xdr:col>15</xdr:col>
      <xdr:colOff>3295650</xdr:colOff>
      <xdr:row>21</xdr:row>
      <xdr:rowOff>238125</xdr:rowOff>
    </xdr:to>
    <xdr:cxnSp macro="">
      <xdr:nvCxnSpPr>
        <xdr:cNvPr id="156" name="91 Conector recto"/>
        <xdr:cNvCxnSpPr/>
      </xdr:nvCxnSpPr>
      <xdr:spPr>
        <a:xfrm>
          <a:off x="18773775" y="492442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495300</xdr:colOff>
      <xdr:row>30</xdr:row>
      <xdr:rowOff>38100</xdr:rowOff>
    </xdr:from>
    <xdr:to>
      <xdr:col>19</xdr:col>
      <xdr:colOff>600075</xdr:colOff>
      <xdr:row>30</xdr:row>
      <xdr:rowOff>38100</xdr:rowOff>
    </xdr:to>
    <xdr:cxnSp macro="">
      <xdr:nvCxnSpPr>
        <xdr:cNvPr id="157" name="92 Conector recto"/>
        <xdr:cNvCxnSpPr/>
      </xdr:nvCxnSpPr>
      <xdr:spPr>
        <a:xfrm>
          <a:off x="22479000" y="681990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504825</xdr:colOff>
      <xdr:row>30</xdr:row>
      <xdr:rowOff>9525</xdr:rowOff>
    </xdr:from>
    <xdr:to>
      <xdr:col>19</xdr:col>
      <xdr:colOff>609600</xdr:colOff>
      <xdr:row>30</xdr:row>
      <xdr:rowOff>9525</xdr:rowOff>
    </xdr:to>
    <xdr:cxnSp macro="">
      <xdr:nvCxnSpPr>
        <xdr:cNvPr id="158" name="93 Conector recto"/>
        <xdr:cNvCxnSpPr/>
      </xdr:nvCxnSpPr>
      <xdr:spPr>
        <a:xfrm>
          <a:off x="22488525" y="6791325"/>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400050</xdr:colOff>
      <xdr:row>30</xdr:row>
      <xdr:rowOff>57150</xdr:rowOff>
    </xdr:from>
    <xdr:to>
      <xdr:col>20</xdr:col>
      <xdr:colOff>504825</xdr:colOff>
      <xdr:row>30</xdr:row>
      <xdr:rowOff>57150</xdr:rowOff>
    </xdr:to>
    <xdr:cxnSp macro="">
      <xdr:nvCxnSpPr>
        <xdr:cNvPr id="159" name="94 Conector recto"/>
        <xdr:cNvCxnSpPr/>
      </xdr:nvCxnSpPr>
      <xdr:spPr>
        <a:xfrm>
          <a:off x="23174325" y="683895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400050</xdr:colOff>
      <xdr:row>30</xdr:row>
      <xdr:rowOff>19050</xdr:rowOff>
    </xdr:from>
    <xdr:to>
      <xdr:col>20</xdr:col>
      <xdr:colOff>504825</xdr:colOff>
      <xdr:row>30</xdr:row>
      <xdr:rowOff>19050</xdr:rowOff>
    </xdr:to>
    <xdr:cxnSp macro="">
      <xdr:nvCxnSpPr>
        <xdr:cNvPr id="160" name="95 Conector recto"/>
        <xdr:cNvCxnSpPr/>
      </xdr:nvCxnSpPr>
      <xdr:spPr>
        <a:xfrm>
          <a:off x="23174325" y="680085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361950</xdr:colOff>
      <xdr:row>30</xdr:row>
      <xdr:rowOff>47625</xdr:rowOff>
    </xdr:from>
    <xdr:to>
      <xdr:col>17</xdr:col>
      <xdr:colOff>466725</xdr:colOff>
      <xdr:row>30</xdr:row>
      <xdr:rowOff>47625</xdr:rowOff>
    </xdr:to>
    <xdr:cxnSp macro="">
      <xdr:nvCxnSpPr>
        <xdr:cNvPr id="161" name="96 Conector recto"/>
        <xdr:cNvCxnSpPr/>
      </xdr:nvCxnSpPr>
      <xdr:spPr>
        <a:xfrm>
          <a:off x="20764500" y="6829425"/>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361950</xdr:colOff>
      <xdr:row>30</xdr:row>
      <xdr:rowOff>19050</xdr:rowOff>
    </xdr:from>
    <xdr:to>
      <xdr:col>17</xdr:col>
      <xdr:colOff>466725</xdr:colOff>
      <xdr:row>30</xdr:row>
      <xdr:rowOff>19050</xdr:rowOff>
    </xdr:to>
    <xdr:cxnSp macro="">
      <xdr:nvCxnSpPr>
        <xdr:cNvPr id="162" name="98 Conector recto"/>
        <xdr:cNvCxnSpPr/>
      </xdr:nvCxnSpPr>
      <xdr:spPr>
        <a:xfrm>
          <a:off x="20764500" y="680085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390525</xdr:colOff>
      <xdr:row>30</xdr:row>
      <xdr:rowOff>38100</xdr:rowOff>
    </xdr:from>
    <xdr:to>
      <xdr:col>18</xdr:col>
      <xdr:colOff>495300</xdr:colOff>
      <xdr:row>30</xdr:row>
      <xdr:rowOff>38100</xdr:rowOff>
    </xdr:to>
    <xdr:cxnSp macro="">
      <xdr:nvCxnSpPr>
        <xdr:cNvPr id="163" name="99 Conector recto"/>
        <xdr:cNvCxnSpPr/>
      </xdr:nvCxnSpPr>
      <xdr:spPr>
        <a:xfrm>
          <a:off x="21583650" y="6819900"/>
          <a:ext cx="1047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2076450</xdr:colOff>
      <xdr:row>27</xdr:row>
      <xdr:rowOff>0</xdr:rowOff>
    </xdr:from>
    <xdr:to>
      <xdr:col>16</xdr:col>
      <xdr:colOff>2419350</xdr:colOff>
      <xdr:row>27</xdr:row>
      <xdr:rowOff>0</xdr:rowOff>
    </xdr:to>
    <xdr:cxnSp macro="">
      <xdr:nvCxnSpPr>
        <xdr:cNvPr id="164" name="1 Conector recto"/>
        <xdr:cNvCxnSpPr/>
      </xdr:nvCxnSpPr>
      <xdr:spPr>
        <a:xfrm>
          <a:off x="2076450" y="8924925"/>
          <a:ext cx="3429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1524000</xdr:colOff>
      <xdr:row>26</xdr:row>
      <xdr:rowOff>9525</xdr:rowOff>
    </xdr:from>
    <xdr:to>
      <xdr:col>16</xdr:col>
      <xdr:colOff>1657350</xdr:colOff>
      <xdr:row>26</xdr:row>
      <xdr:rowOff>9525</xdr:rowOff>
    </xdr:to>
    <xdr:cxnSp macro="">
      <xdr:nvCxnSpPr>
        <xdr:cNvPr id="165" name="2 Conector recto"/>
        <xdr:cNvCxnSpPr/>
      </xdr:nvCxnSpPr>
      <xdr:spPr>
        <a:xfrm>
          <a:off x="1524000" y="87630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2076450</xdr:colOff>
      <xdr:row>27</xdr:row>
      <xdr:rowOff>0</xdr:rowOff>
    </xdr:from>
    <xdr:to>
      <xdr:col>17</xdr:col>
      <xdr:colOff>2419350</xdr:colOff>
      <xdr:row>27</xdr:row>
      <xdr:rowOff>0</xdr:rowOff>
    </xdr:to>
    <xdr:cxnSp macro="">
      <xdr:nvCxnSpPr>
        <xdr:cNvPr id="166" name="1 Conector recto"/>
        <xdr:cNvCxnSpPr/>
      </xdr:nvCxnSpPr>
      <xdr:spPr>
        <a:xfrm>
          <a:off x="2076450" y="8924925"/>
          <a:ext cx="3429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1524000</xdr:colOff>
      <xdr:row>26</xdr:row>
      <xdr:rowOff>9525</xdr:rowOff>
    </xdr:from>
    <xdr:to>
      <xdr:col>17</xdr:col>
      <xdr:colOff>1657350</xdr:colOff>
      <xdr:row>26</xdr:row>
      <xdr:rowOff>9525</xdr:rowOff>
    </xdr:to>
    <xdr:cxnSp macro="">
      <xdr:nvCxnSpPr>
        <xdr:cNvPr id="167" name="2 Conector recto"/>
        <xdr:cNvCxnSpPr/>
      </xdr:nvCxnSpPr>
      <xdr:spPr>
        <a:xfrm>
          <a:off x="1524000" y="87630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2076450</xdr:colOff>
      <xdr:row>27</xdr:row>
      <xdr:rowOff>0</xdr:rowOff>
    </xdr:from>
    <xdr:to>
      <xdr:col>18</xdr:col>
      <xdr:colOff>2419350</xdr:colOff>
      <xdr:row>27</xdr:row>
      <xdr:rowOff>0</xdr:rowOff>
    </xdr:to>
    <xdr:cxnSp macro="">
      <xdr:nvCxnSpPr>
        <xdr:cNvPr id="168" name="1 Conector recto"/>
        <xdr:cNvCxnSpPr/>
      </xdr:nvCxnSpPr>
      <xdr:spPr>
        <a:xfrm>
          <a:off x="2076450" y="8924925"/>
          <a:ext cx="3429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1524000</xdr:colOff>
      <xdr:row>26</xdr:row>
      <xdr:rowOff>9525</xdr:rowOff>
    </xdr:from>
    <xdr:to>
      <xdr:col>18</xdr:col>
      <xdr:colOff>1657350</xdr:colOff>
      <xdr:row>26</xdr:row>
      <xdr:rowOff>9525</xdr:rowOff>
    </xdr:to>
    <xdr:cxnSp macro="">
      <xdr:nvCxnSpPr>
        <xdr:cNvPr id="169" name="2 Conector recto"/>
        <xdr:cNvCxnSpPr/>
      </xdr:nvCxnSpPr>
      <xdr:spPr>
        <a:xfrm>
          <a:off x="1524000" y="87630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2076450</xdr:colOff>
      <xdr:row>27</xdr:row>
      <xdr:rowOff>0</xdr:rowOff>
    </xdr:from>
    <xdr:to>
      <xdr:col>19</xdr:col>
      <xdr:colOff>2419350</xdr:colOff>
      <xdr:row>27</xdr:row>
      <xdr:rowOff>0</xdr:rowOff>
    </xdr:to>
    <xdr:cxnSp macro="">
      <xdr:nvCxnSpPr>
        <xdr:cNvPr id="170" name="1 Conector recto"/>
        <xdr:cNvCxnSpPr/>
      </xdr:nvCxnSpPr>
      <xdr:spPr>
        <a:xfrm>
          <a:off x="2076450" y="8924925"/>
          <a:ext cx="3429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1524000</xdr:colOff>
      <xdr:row>26</xdr:row>
      <xdr:rowOff>9525</xdr:rowOff>
    </xdr:from>
    <xdr:to>
      <xdr:col>19</xdr:col>
      <xdr:colOff>1657350</xdr:colOff>
      <xdr:row>26</xdr:row>
      <xdr:rowOff>9525</xdr:rowOff>
    </xdr:to>
    <xdr:cxnSp macro="">
      <xdr:nvCxnSpPr>
        <xdr:cNvPr id="171" name="2 Conector recto"/>
        <xdr:cNvCxnSpPr/>
      </xdr:nvCxnSpPr>
      <xdr:spPr>
        <a:xfrm>
          <a:off x="1524000" y="87630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2076450</xdr:colOff>
      <xdr:row>27</xdr:row>
      <xdr:rowOff>0</xdr:rowOff>
    </xdr:from>
    <xdr:to>
      <xdr:col>20</xdr:col>
      <xdr:colOff>2419350</xdr:colOff>
      <xdr:row>27</xdr:row>
      <xdr:rowOff>0</xdr:rowOff>
    </xdr:to>
    <xdr:cxnSp macro="">
      <xdr:nvCxnSpPr>
        <xdr:cNvPr id="172" name="1 Conector recto"/>
        <xdr:cNvCxnSpPr/>
      </xdr:nvCxnSpPr>
      <xdr:spPr>
        <a:xfrm>
          <a:off x="2076450" y="8924925"/>
          <a:ext cx="3429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1524000</xdr:colOff>
      <xdr:row>26</xdr:row>
      <xdr:rowOff>9525</xdr:rowOff>
    </xdr:from>
    <xdr:to>
      <xdr:col>20</xdr:col>
      <xdr:colOff>1657350</xdr:colOff>
      <xdr:row>26</xdr:row>
      <xdr:rowOff>9525</xdr:rowOff>
    </xdr:to>
    <xdr:cxnSp macro="">
      <xdr:nvCxnSpPr>
        <xdr:cNvPr id="173" name="2 Conector recto"/>
        <xdr:cNvCxnSpPr/>
      </xdr:nvCxnSpPr>
      <xdr:spPr>
        <a:xfrm>
          <a:off x="1524000" y="87630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2076450</xdr:colOff>
      <xdr:row>27</xdr:row>
      <xdr:rowOff>0</xdr:rowOff>
    </xdr:from>
    <xdr:to>
      <xdr:col>16</xdr:col>
      <xdr:colOff>2419350</xdr:colOff>
      <xdr:row>27</xdr:row>
      <xdr:rowOff>0</xdr:rowOff>
    </xdr:to>
    <xdr:cxnSp macro="">
      <xdr:nvCxnSpPr>
        <xdr:cNvPr id="174" name="1 Conector recto"/>
        <xdr:cNvCxnSpPr/>
      </xdr:nvCxnSpPr>
      <xdr:spPr>
        <a:xfrm>
          <a:off x="2076450" y="8924925"/>
          <a:ext cx="3429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1524000</xdr:colOff>
      <xdr:row>26</xdr:row>
      <xdr:rowOff>9525</xdr:rowOff>
    </xdr:from>
    <xdr:to>
      <xdr:col>16</xdr:col>
      <xdr:colOff>1657350</xdr:colOff>
      <xdr:row>26</xdr:row>
      <xdr:rowOff>9525</xdr:rowOff>
    </xdr:to>
    <xdr:cxnSp macro="">
      <xdr:nvCxnSpPr>
        <xdr:cNvPr id="175" name="2 Conector recto"/>
        <xdr:cNvCxnSpPr/>
      </xdr:nvCxnSpPr>
      <xdr:spPr>
        <a:xfrm>
          <a:off x="1524000" y="87630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781050</xdr:colOff>
      <xdr:row>25</xdr:row>
      <xdr:rowOff>57150</xdr:rowOff>
    </xdr:from>
    <xdr:to>
      <xdr:col>17</xdr:col>
      <xdr:colOff>161925</xdr:colOff>
      <xdr:row>25</xdr:row>
      <xdr:rowOff>57150</xdr:rowOff>
    </xdr:to>
    <xdr:cxnSp macro="">
      <xdr:nvCxnSpPr>
        <xdr:cNvPr id="176" name="97 Conector recto"/>
        <xdr:cNvCxnSpPr/>
      </xdr:nvCxnSpPr>
      <xdr:spPr>
        <a:xfrm>
          <a:off x="20393025" y="5934075"/>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781050</xdr:colOff>
      <xdr:row>25</xdr:row>
      <xdr:rowOff>19050</xdr:rowOff>
    </xdr:from>
    <xdr:to>
      <xdr:col>17</xdr:col>
      <xdr:colOff>161925</xdr:colOff>
      <xdr:row>25</xdr:row>
      <xdr:rowOff>19050</xdr:rowOff>
    </xdr:to>
    <xdr:cxnSp macro="">
      <xdr:nvCxnSpPr>
        <xdr:cNvPr id="177" name="97 Conector recto"/>
        <xdr:cNvCxnSpPr/>
      </xdr:nvCxnSpPr>
      <xdr:spPr>
        <a:xfrm>
          <a:off x="20393025" y="5895975"/>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20</xdr:row>
      <xdr:rowOff>66675</xdr:rowOff>
    </xdr:from>
    <xdr:to>
      <xdr:col>10</xdr:col>
      <xdr:colOff>590549</xdr:colOff>
      <xdr:row>24</xdr:row>
      <xdr:rowOff>0</xdr:rowOff>
    </xdr:to>
    <xdr:graphicFrame macro="">
      <xdr:nvGraphicFramePr>
        <xdr:cNvPr id="102" name="Diagrama 10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1838325</xdr:colOff>
      <xdr:row>101</xdr:row>
      <xdr:rowOff>19050</xdr:rowOff>
    </xdr:from>
    <xdr:to>
      <xdr:col>0</xdr:col>
      <xdr:colOff>2495550</xdr:colOff>
      <xdr:row>101</xdr:row>
      <xdr:rowOff>19050</xdr:rowOff>
    </xdr:to>
    <xdr:cxnSp macro="">
      <xdr:nvCxnSpPr>
        <xdr:cNvPr id="178" name="114 Conector recto"/>
        <xdr:cNvCxnSpPr/>
      </xdr:nvCxnSpPr>
      <xdr:spPr>
        <a:xfrm>
          <a:off x="1838325" y="29403675"/>
          <a:ext cx="6572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2066925</xdr:colOff>
      <xdr:row>53</xdr:row>
      <xdr:rowOff>57150</xdr:rowOff>
    </xdr:from>
    <xdr:to>
      <xdr:col>15</xdr:col>
      <xdr:colOff>2181225</xdr:colOff>
      <xdr:row>53</xdr:row>
      <xdr:rowOff>57150</xdr:rowOff>
    </xdr:to>
    <xdr:cxnSp macro="">
      <xdr:nvCxnSpPr>
        <xdr:cNvPr id="179" name="60 Conector recto"/>
        <xdr:cNvCxnSpPr/>
      </xdr:nvCxnSpPr>
      <xdr:spPr>
        <a:xfrm rot="10800000">
          <a:off x="19421475" y="21621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2019300</xdr:colOff>
      <xdr:row>54</xdr:row>
      <xdr:rowOff>76200</xdr:rowOff>
    </xdr:from>
    <xdr:to>
      <xdr:col>15</xdr:col>
      <xdr:colOff>2133600</xdr:colOff>
      <xdr:row>54</xdr:row>
      <xdr:rowOff>76200</xdr:rowOff>
    </xdr:to>
    <xdr:cxnSp macro="">
      <xdr:nvCxnSpPr>
        <xdr:cNvPr id="180" name="61 Conector recto"/>
        <xdr:cNvCxnSpPr/>
      </xdr:nvCxnSpPr>
      <xdr:spPr>
        <a:xfrm rot="10800000">
          <a:off x="19373850" y="24288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2028825</xdr:colOff>
      <xdr:row>55</xdr:row>
      <xdr:rowOff>66675</xdr:rowOff>
    </xdr:from>
    <xdr:to>
      <xdr:col>15</xdr:col>
      <xdr:colOff>2143125</xdr:colOff>
      <xdr:row>55</xdr:row>
      <xdr:rowOff>66675</xdr:rowOff>
    </xdr:to>
    <xdr:cxnSp macro="">
      <xdr:nvCxnSpPr>
        <xdr:cNvPr id="181" name="62 Conector recto"/>
        <xdr:cNvCxnSpPr/>
      </xdr:nvCxnSpPr>
      <xdr:spPr>
        <a:xfrm rot="10800000">
          <a:off x="19383375" y="26670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2047875</xdr:colOff>
      <xdr:row>56</xdr:row>
      <xdr:rowOff>66675</xdr:rowOff>
    </xdr:from>
    <xdr:to>
      <xdr:col>15</xdr:col>
      <xdr:colOff>2162175</xdr:colOff>
      <xdr:row>56</xdr:row>
      <xdr:rowOff>66675</xdr:rowOff>
    </xdr:to>
    <xdr:cxnSp macro="">
      <xdr:nvCxnSpPr>
        <xdr:cNvPr id="182" name="63 Conector recto"/>
        <xdr:cNvCxnSpPr/>
      </xdr:nvCxnSpPr>
      <xdr:spPr>
        <a:xfrm rot="10800000">
          <a:off x="19402425" y="102012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2076450</xdr:colOff>
      <xdr:row>57</xdr:row>
      <xdr:rowOff>57150</xdr:rowOff>
    </xdr:from>
    <xdr:to>
      <xdr:col>15</xdr:col>
      <xdr:colOff>2190750</xdr:colOff>
      <xdr:row>57</xdr:row>
      <xdr:rowOff>57150</xdr:rowOff>
    </xdr:to>
    <xdr:cxnSp macro="">
      <xdr:nvCxnSpPr>
        <xdr:cNvPr id="183" name="64 Conector recto"/>
        <xdr:cNvCxnSpPr/>
      </xdr:nvCxnSpPr>
      <xdr:spPr>
        <a:xfrm rot="10800000">
          <a:off x="19431000" y="104394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2038350</xdr:colOff>
      <xdr:row>58</xdr:row>
      <xdr:rowOff>85725</xdr:rowOff>
    </xdr:from>
    <xdr:to>
      <xdr:col>15</xdr:col>
      <xdr:colOff>2152650</xdr:colOff>
      <xdr:row>58</xdr:row>
      <xdr:rowOff>85725</xdr:rowOff>
    </xdr:to>
    <xdr:cxnSp macro="">
      <xdr:nvCxnSpPr>
        <xdr:cNvPr id="184" name="65 Conector recto"/>
        <xdr:cNvCxnSpPr/>
      </xdr:nvCxnSpPr>
      <xdr:spPr>
        <a:xfrm rot="10800000">
          <a:off x="19392900" y="1071562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64</xdr:row>
      <xdr:rowOff>47625</xdr:rowOff>
    </xdr:from>
    <xdr:to>
      <xdr:col>15</xdr:col>
      <xdr:colOff>609600</xdr:colOff>
      <xdr:row>64</xdr:row>
      <xdr:rowOff>47625</xdr:rowOff>
    </xdr:to>
    <xdr:cxnSp macro="">
      <xdr:nvCxnSpPr>
        <xdr:cNvPr id="185" name="66 Conector recto"/>
        <xdr:cNvCxnSpPr/>
      </xdr:nvCxnSpPr>
      <xdr:spPr>
        <a:xfrm>
          <a:off x="17802225" y="1216342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1062498</xdr:colOff>
      <xdr:row>64</xdr:row>
      <xdr:rowOff>46908</xdr:rowOff>
    </xdr:from>
    <xdr:to>
      <xdr:col>15</xdr:col>
      <xdr:colOff>1224423</xdr:colOff>
      <xdr:row>64</xdr:row>
      <xdr:rowOff>46908</xdr:rowOff>
    </xdr:to>
    <xdr:cxnSp macro="">
      <xdr:nvCxnSpPr>
        <xdr:cNvPr id="186" name="67 Conector recto"/>
        <xdr:cNvCxnSpPr/>
      </xdr:nvCxnSpPr>
      <xdr:spPr>
        <a:xfrm>
          <a:off x="18432821" y="16771989"/>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1687563</xdr:colOff>
      <xdr:row>64</xdr:row>
      <xdr:rowOff>47625</xdr:rowOff>
    </xdr:from>
    <xdr:to>
      <xdr:col>15</xdr:col>
      <xdr:colOff>1849488</xdr:colOff>
      <xdr:row>64</xdr:row>
      <xdr:rowOff>47625</xdr:rowOff>
    </xdr:to>
    <xdr:cxnSp macro="">
      <xdr:nvCxnSpPr>
        <xdr:cNvPr id="187" name="68 Conector recto"/>
        <xdr:cNvCxnSpPr/>
      </xdr:nvCxnSpPr>
      <xdr:spPr>
        <a:xfrm>
          <a:off x="19057886" y="16772706"/>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2263571</xdr:colOff>
      <xdr:row>64</xdr:row>
      <xdr:rowOff>35949</xdr:rowOff>
    </xdr:from>
    <xdr:to>
      <xdr:col>15</xdr:col>
      <xdr:colOff>2425496</xdr:colOff>
      <xdr:row>64</xdr:row>
      <xdr:rowOff>35949</xdr:rowOff>
    </xdr:to>
    <xdr:cxnSp macro="">
      <xdr:nvCxnSpPr>
        <xdr:cNvPr id="188" name="69 Conector recto"/>
        <xdr:cNvCxnSpPr/>
      </xdr:nvCxnSpPr>
      <xdr:spPr>
        <a:xfrm>
          <a:off x="19633894" y="1676103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2047875</xdr:colOff>
      <xdr:row>60</xdr:row>
      <xdr:rowOff>76200</xdr:rowOff>
    </xdr:from>
    <xdr:to>
      <xdr:col>15</xdr:col>
      <xdr:colOff>2162175</xdr:colOff>
      <xdr:row>60</xdr:row>
      <xdr:rowOff>76200</xdr:rowOff>
    </xdr:to>
    <xdr:cxnSp macro="">
      <xdr:nvCxnSpPr>
        <xdr:cNvPr id="189" name="9 Conector recto"/>
        <xdr:cNvCxnSpPr/>
      </xdr:nvCxnSpPr>
      <xdr:spPr>
        <a:xfrm rot="10800000">
          <a:off x="19402425" y="112014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2028825</xdr:colOff>
      <xdr:row>62</xdr:row>
      <xdr:rowOff>66675</xdr:rowOff>
    </xdr:from>
    <xdr:to>
      <xdr:col>15</xdr:col>
      <xdr:colOff>2143125</xdr:colOff>
      <xdr:row>62</xdr:row>
      <xdr:rowOff>66675</xdr:rowOff>
    </xdr:to>
    <xdr:cxnSp macro="">
      <xdr:nvCxnSpPr>
        <xdr:cNvPr id="190" name="9 Conector recto"/>
        <xdr:cNvCxnSpPr/>
      </xdr:nvCxnSpPr>
      <xdr:spPr>
        <a:xfrm rot="10800000">
          <a:off x="19383375" y="44481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2076450</xdr:colOff>
      <xdr:row>59</xdr:row>
      <xdr:rowOff>66675</xdr:rowOff>
    </xdr:from>
    <xdr:to>
      <xdr:col>15</xdr:col>
      <xdr:colOff>2190750</xdr:colOff>
      <xdr:row>59</xdr:row>
      <xdr:rowOff>66675</xdr:rowOff>
    </xdr:to>
    <xdr:cxnSp macro="">
      <xdr:nvCxnSpPr>
        <xdr:cNvPr id="191" name="8 Conector recto"/>
        <xdr:cNvCxnSpPr/>
      </xdr:nvCxnSpPr>
      <xdr:spPr>
        <a:xfrm rot="10800000">
          <a:off x="19431000" y="1094422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2085975</xdr:colOff>
      <xdr:row>61</xdr:row>
      <xdr:rowOff>85725</xdr:rowOff>
    </xdr:from>
    <xdr:to>
      <xdr:col>15</xdr:col>
      <xdr:colOff>2200275</xdr:colOff>
      <xdr:row>61</xdr:row>
      <xdr:rowOff>85725</xdr:rowOff>
    </xdr:to>
    <xdr:cxnSp macro="">
      <xdr:nvCxnSpPr>
        <xdr:cNvPr id="192" name="8 Conector recto"/>
        <xdr:cNvCxnSpPr/>
      </xdr:nvCxnSpPr>
      <xdr:spPr>
        <a:xfrm rot="10800000">
          <a:off x="19440525" y="11458575"/>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2813153</xdr:colOff>
      <xdr:row>64</xdr:row>
      <xdr:rowOff>36667</xdr:rowOff>
    </xdr:from>
    <xdr:to>
      <xdr:col>15</xdr:col>
      <xdr:colOff>2975078</xdr:colOff>
      <xdr:row>64</xdr:row>
      <xdr:rowOff>36667</xdr:rowOff>
    </xdr:to>
    <xdr:cxnSp macro="">
      <xdr:nvCxnSpPr>
        <xdr:cNvPr id="193" name="74 Conector recto"/>
        <xdr:cNvCxnSpPr/>
      </xdr:nvCxnSpPr>
      <xdr:spPr>
        <a:xfrm>
          <a:off x="20183476" y="16761748"/>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3351776</xdr:colOff>
      <xdr:row>64</xdr:row>
      <xdr:rowOff>16182</xdr:rowOff>
    </xdr:from>
    <xdr:to>
      <xdr:col>15</xdr:col>
      <xdr:colOff>3513701</xdr:colOff>
      <xdr:row>64</xdr:row>
      <xdr:rowOff>16182</xdr:rowOff>
    </xdr:to>
    <xdr:cxnSp macro="">
      <xdr:nvCxnSpPr>
        <xdr:cNvPr id="194" name="75 Conector recto"/>
        <xdr:cNvCxnSpPr/>
      </xdr:nvCxnSpPr>
      <xdr:spPr>
        <a:xfrm>
          <a:off x="20722099" y="16741263"/>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3408516</xdr:colOff>
      <xdr:row>67</xdr:row>
      <xdr:rowOff>328664</xdr:rowOff>
    </xdr:from>
    <xdr:to>
      <xdr:col>15</xdr:col>
      <xdr:colOff>3570441</xdr:colOff>
      <xdr:row>67</xdr:row>
      <xdr:rowOff>328664</xdr:rowOff>
    </xdr:to>
    <xdr:cxnSp macro="">
      <xdr:nvCxnSpPr>
        <xdr:cNvPr id="195" name="76 Conector recto"/>
        <xdr:cNvCxnSpPr/>
      </xdr:nvCxnSpPr>
      <xdr:spPr>
        <a:xfrm>
          <a:off x="20778839" y="1813939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225619</xdr:colOff>
      <xdr:row>68</xdr:row>
      <xdr:rowOff>233894</xdr:rowOff>
    </xdr:from>
    <xdr:to>
      <xdr:col>19</xdr:col>
      <xdr:colOff>520892</xdr:colOff>
      <xdr:row>68</xdr:row>
      <xdr:rowOff>233894</xdr:rowOff>
    </xdr:to>
    <xdr:cxnSp macro="">
      <xdr:nvCxnSpPr>
        <xdr:cNvPr id="196" name="78 Conector recto"/>
        <xdr:cNvCxnSpPr/>
      </xdr:nvCxnSpPr>
      <xdr:spPr>
        <a:xfrm rot="10800000">
          <a:off x="22419893" y="18720588"/>
          <a:ext cx="1872531"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1942881</xdr:colOff>
      <xdr:row>70</xdr:row>
      <xdr:rowOff>34024</xdr:rowOff>
    </xdr:from>
    <xdr:to>
      <xdr:col>15</xdr:col>
      <xdr:colOff>2104806</xdr:colOff>
      <xdr:row>70</xdr:row>
      <xdr:rowOff>34024</xdr:rowOff>
    </xdr:to>
    <xdr:cxnSp macro="">
      <xdr:nvCxnSpPr>
        <xdr:cNvPr id="197" name="79 Conector recto"/>
        <xdr:cNvCxnSpPr/>
      </xdr:nvCxnSpPr>
      <xdr:spPr>
        <a:xfrm>
          <a:off x="19313204" y="19053298"/>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1955969</xdr:colOff>
      <xdr:row>70</xdr:row>
      <xdr:rowOff>65446</xdr:rowOff>
    </xdr:from>
    <xdr:to>
      <xdr:col>15</xdr:col>
      <xdr:colOff>2117894</xdr:colOff>
      <xdr:row>70</xdr:row>
      <xdr:rowOff>65446</xdr:rowOff>
    </xdr:to>
    <xdr:cxnSp macro="">
      <xdr:nvCxnSpPr>
        <xdr:cNvPr id="198" name="80 Conector recto"/>
        <xdr:cNvCxnSpPr/>
      </xdr:nvCxnSpPr>
      <xdr:spPr>
        <a:xfrm>
          <a:off x="19326292" y="1908472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2481021</xdr:colOff>
      <xdr:row>72</xdr:row>
      <xdr:rowOff>223857</xdr:rowOff>
    </xdr:from>
    <xdr:to>
      <xdr:col>15</xdr:col>
      <xdr:colOff>2642946</xdr:colOff>
      <xdr:row>72</xdr:row>
      <xdr:rowOff>223857</xdr:rowOff>
    </xdr:to>
    <xdr:cxnSp macro="">
      <xdr:nvCxnSpPr>
        <xdr:cNvPr id="199" name="81 Conector recto"/>
        <xdr:cNvCxnSpPr/>
      </xdr:nvCxnSpPr>
      <xdr:spPr>
        <a:xfrm>
          <a:off x="19851344" y="19775712"/>
          <a:ext cx="1619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1928977</xdr:colOff>
      <xdr:row>72</xdr:row>
      <xdr:rowOff>663346</xdr:rowOff>
    </xdr:from>
    <xdr:to>
      <xdr:col>15</xdr:col>
      <xdr:colOff>2595727</xdr:colOff>
      <xdr:row>72</xdr:row>
      <xdr:rowOff>663346</xdr:rowOff>
    </xdr:to>
    <xdr:cxnSp macro="">
      <xdr:nvCxnSpPr>
        <xdr:cNvPr id="200" name="82 Conector recto"/>
        <xdr:cNvCxnSpPr/>
      </xdr:nvCxnSpPr>
      <xdr:spPr>
        <a:xfrm>
          <a:off x="19299300" y="20215201"/>
          <a:ext cx="666750" cy="0"/>
        </a:xfrm>
        <a:prstGeom prst="line">
          <a:avLst/>
        </a:prstGeom>
        <a:ln w="12700">
          <a:solidFill>
            <a:sysClr val="windowText" lastClr="000000"/>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2483161</xdr:colOff>
      <xdr:row>72</xdr:row>
      <xdr:rowOff>264098</xdr:rowOff>
    </xdr:from>
    <xdr:to>
      <xdr:col>15</xdr:col>
      <xdr:colOff>2645086</xdr:colOff>
      <xdr:row>72</xdr:row>
      <xdr:rowOff>264098</xdr:rowOff>
    </xdr:to>
    <xdr:cxnSp macro="">
      <xdr:nvCxnSpPr>
        <xdr:cNvPr id="201" name="83 Conector recto"/>
        <xdr:cNvCxnSpPr/>
      </xdr:nvCxnSpPr>
      <xdr:spPr>
        <a:xfrm>
          <a:off x="19853484" y="19815953"/>
          <a:ext cx="1619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133350</xdr:colOff>
      <xdr:row>73</xdr:row>
      <xdr:rowOff>28575</xdr:rowOff>
    </xdr:from>
    <xdr:to>
      <xdr:col>20</xdr:col>
      <xdr:colOff>561975</xdr:colOff>
      <xdr:row>73</xdr:row>
      <xdr:rowOff>28577</xdr:rowOff>
    </xdr:to>
    <xdr:cxnSp macro="">
      <xdr:nvCxnSpPr>
        <xdr:cNvPr id="203" name="86 Conector recto"/>
        <xdr:cNvCxnSpPr/>
      </xdr:nvCxnSpPr>
      <xdr:spPr>
        <a:xfrm rot="10800000" flipV="1">
          <a:off x="21526500" y="7191375"/>
          <a:ext cx="3590925" cy="2"/>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183126</xdr:colOff>
      <xdr:row>64</xdr:row>
      <xdr:rowOff>38100</xdr:rowOff>
    </xdr:from>
    <xdr:to>
      <xdr:col>15</xdr:col>
      <xdr:colOff>278376</xdr:colOff>
      <xdr:row>64</xdr:row>
      <xdr:rowOff>38100</xdr:rowOff>
    </xdr:to>
    <xdr:cxnSp macro="">
      <xdr:nvCxnSpPr>
        <xdr:cNvPr id="204" name="87 Conector recto"/>
        <xdr:cNvCxnSpPr/>
      </xdr:nvCxnSpPr>
      <xdr:spPr>
        <a:xfrm>
          <a:off x="17553449" y="16763181"/>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1421581</xdr:colOff>
      <xdr:row>64</xdr:row>
      <xdr:rowOff>47625</xdr:rowOff>
    </xdr:from>
    <xdr:to>
      <xdr:col>15</xdr:col>
      <xdr:colOff>1516831</xdr:colOff>
      <xdr:row>64</xdr:row>
      <xdr:rowOff>47625</xdr:rowOff>
    </xdr:to>
    <xdr:cxnSp macro="">
      <xdr:nvCxnSpPr>
        <xdr:cNvPr id="205" name="88 Conector recto"/>
        <xdr:cNvCxnSpPr/>
      </xdr:nvCxnSpPr>
      <xdr:spPr>
        <a:xfrm>
          <a:off x="18791904" y="16772706"/>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3408516</xdr:colOff>
      <xdr:row>67</xdr:row>
      <xdr:rowOff>356521</xdr:rowOff>
    </xdr:from>
    <xdr:to>
      <xdr:col>15</xdr:col>
      <xdr:colOff>3579966</xdr:colOff>
      <xdr:row>67</xdr:row>
      <xdr:rowOff>356521</xdr:rowOff>
    </xdr:to>
    <xdr:cxnSp macro="">
      <xdr:nvCxnSpPr>
        <xdr:cNvPr id="214" name="97 Conector recto"/>
        <xdr:cNvCxnSpPr/>
      </xdr:nvCxnSpPr>
      <xdr:spPr>
        <a:xfrm>
          <a:off x="20778839" y="18167247"/>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133350</xdr:colOff>
      <xdr:row>73</xdr:row>
      <xdr:rowOff>28575</xdr:rowOff>
    </xdr:from>
    <xdr:to>
      <xdr:col>20</xdr:col>
      <xdr:colOff>561975</xdr:colOff>
      <xdr:row>73</xdr:row>
      <xdr:rowOff>28577</xdr:rowOff>
    </xdr:to>
    <xdr:cxnSp macro="">
      <xdr:nvCxnSpPr>
        <xdr:cNvPr id="220" name="86 Conector recto"/>
        <xdr:cNvCxnSpPr/>
      </xdr:nvCxnSpPr>
      <xdr:spPr>
        <a:xfrm rot="10800000" flipV="1">
          <a:off x="21526500" y="7191375"/>
          <a:ext cx="3590925" cy="2"/>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804606</xdr:colOff>
      <xdr:row>64</xdr:row>
      <xdr:rowOff>36666</xdr:rowOff>
    </xdr:from>
    <xdr:to>
      <xdr:col>15</xdr:col>
      <xdr:colOff>899856</xdr:colOff>
      <xdr:row>64</xdr:row>
      <xdr:rowOff>36666</xdr:rowOff>
    </xdr:to>
    <xdr:cxnSp macro="">
      <xdr:nvCxnSpPr>
        <xdr:cNvPr id="222" name="88 Conector recto"/>
        <xdr:cNvCxnSpPr/>
      </xdr:nvCxnSpPr>
      <xdr:spPr>
        <a:xfrm>
          <a:off x="18174929" y="16761747"/>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2037121</xdr:colOff>
      <xdr:row>64</xdr:row>
      <xdr:rowOff>36666</xdr:rowOff>
    </xdr:from>
    <xdr:to>
      <xdr:col>15</xdr:col>
      <xdr:colOff>2132371</xdr:colOff>
      <xdr:row>64</xdr:row>
      <xdr:rowOff>36666</xdr:rowOff>
    </xdr:to>
    <xdr:cxnSp macro="">
      <xdr:nvCxnSpPr>
        <xdr:cNvPr id="223" name="89 Conector recto"/>
        <xdr:cNvCxnSpPr/>
      </xdr:nvCxnSpPr>
      <xdr:spPr>
        <a:xfrm>
          <a:off x="19407444" y="16761747"/>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2597662</xdr:colOff>
      <xdr:row>64</xdr:row>
      <xdr:rowOff>36666</xdr:rowOff>
    </xdr:from>
    <xdr:to>
      <xdr:col>15</xdr:col>
      <xdr:colOff>2692912</xdr:colOff>
      <xdr:row>64</xdr:row>
      <xdr:rowOff>36666</xdr:rowOff>
    </xdr:to>
    <xdr:cxnSp macro="">
      <xdr:nvCxnSpPr>
        <xdr:cNvPr id="224" name="90 Conector recto"/>
        <xdr:cNvCxnSpPr/>
      </xdr:nvCxnSpPr>
      <xdr:spPr>
        <a:xfrm>
          <a:off x="19967985" y="16761747"/>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3117236</xdr:colOff>
      <xdr:row>64</xdr:row>
      <xdr:rowOff>36666</xdr:rowOff>
    </xdr:from>
    <xdr:to>
      <xdr:col>15</xdr:col>
      <xdr:colOff>3212486</xdr:colOff>
      <xdr:row>64</xdr:row>
      <xdr:rowOff>36666</xdr:rowOff>
    </xdr:to>
    <xdr:cxnSp macro="">
      <xdr:nvCxnSpPr>
        <xdr:cNvPr id="225" name="91 Conector recto"/>
        <xdr:cNvCxnSpPr/>
      </xdr:nvCxnSpPr>
      <xdr:spPr>
        <a:xfrm>
          <a:off x="20487559" y="16761747"/>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2076450</xdr:colOff>
      <xdr:row>69</xdr:row>
      <xdr:rowOff>0</xdr:rowOff>
    </xdr:from>
    <xdr:to>
      <xdr:col>16</xdr:col>
      <xdr:colOff>2419350</xdr:colOff>
      <xdr:row>69</xdr:row>
      <xdr:rowOff>0</xdr:rowOff>
    </xdr:to>
    <xdr:cxnSp macro="">
      <xdr:nvCxnSpPr>
        <xdr:cNvPr id="233" name="1 Conector recto"/>
        <xdr:cNvCxnSpPr/>
      </xdr:nvCxnSpPr>
      <xdr:spPr>
        <a:xfrm>
          <a:off x="22183725" y="6172200"/>
          <a:ext cx="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1524000</xdr:colOff>
      <xdr:row>68</xdr:row>
      <xdr:rowOff>9525</xdr:rowOff>
    </xdr:from>
    <xdr:to>
      <xdr:col>16</xdr:col>
      <xdr:colOff>1657350</xdr:colOff>
      <xdr:row>68</xdr:row>
      <xdr:rowOff>9525</xdr:rowOff>
    </xdr:to>
    <xdr:cxnSp macro="">
      <xdr:nvCxnSpPr>
        <xdr:cNvPr id="234" name="2 Conector recto"/>
        <xdr:cNvCxnSpPr/>
      </xdr:nvCxnSpPr>
      <xdr:spPr>
        <a:xfrm>
          <a:off x="22183725" y="5934075"/>
          <a:ext cx="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2076450</xdr:colOff>
      <xdr:row>69</xdr:row>
      <xdr:rowOff>0</xdr:rowOff>
    </xdr:from>
    <xdr:to>
      <xdr:col>17</xdr:col>
      <xdr:colOff>2419350</xdr:colOff>
      <xdr:row>69</xdr:row>
      <xdr:rowOff>0</xdr:rowOff>
    </xdr:to>
    <xdr:cxnSp macro="">
      <xdr:nvCxnSpPr>
        <xdr:cNvPr id="235" name="1 Conector recto"/>
        <xdr:cNvCxnSpPr/>
      </xdr:nvCxnSpPr>
      <xdr:spPr>
        <a:xfrm>
          <a:off x="22974300" y="6172200"/>
          <a:ext cx="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1524000</xdr:colOff>
      <xdr:row>68</xdr:row>
      <xdr:rowOff>9525</xdr:rowOff>
    </xdr:from>
    <xdr:to>
      <xdr:col>17</xdr:col>
      <xdr:colOff>1657350</xdr:colOff>
      <xdr:row>68</xdr:row>
      <xdr:rowOff>9525</xdr:rowOff>
    </xdr:to>
    <xdr:cxnSp macro="">
      <xdr:nvCxnSpPr>
        <xdr:cNvPr id="236" name="2 Conector recto"/>
        <xdr:cNvCxnSpPr/>
      </xdr:nvCxnSpPr>
      <xdr:spPr>
        <a:xfrm>
          <a:off x="22974300" y="5934075"/>
          <a:ext cx="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2076450</xdr:colOff>
      <xdr:row>69</xdr:row>
      <xdr:rowOff>0</xdr:rowOff>
    </xdr:from>
    <xdr:to>
      <xdr:col>18</xdr:col>
      <xdr:colOff>2419350</xdr:colOff>
      <xdr:row>69</xdr:row>
      <xdr:rowOff>0</xdr:rowOff>
    </xdr:to>
    <xdr:cxnSp macro="">
      <xdr:nvCxnSpPr>
        <xdr:cNvPr id="237" name="1 Conector recto"/>
        <xdr:cNvCxnSpPr/>
      </xdr:nvCxnSpPr>
      <xdr:spPr>
        <a:xfrm>
          <a:off x="23764875" y="6172200"/>
          <a:ext cx="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1524000</xdr:colOff>
      <xdr:row>68</xdr:row>
      <xdr:rowOff>9525</xdr:rowOff>
    </xdr:from>
    <xdr:to>
      <xdr:col>18</xdr:col>
      <xdr:colOff>1657350</xdr:colOff>
      <xdr:row>68</xdr:row>
      <xdr:rowOff>9525</xdr:rowOff>
    </xdr:to>
    <xdr:cxnSp macro="">
      <xdr:nvCxnSpPr>
        <xdr:cNvPr id="238" name="2 Conector recto"/>
        <xdr:cNvCxnSpPr/>
      </xdr:nvCxnSpPr>
      <xdr:spPr>
        <a:xfrm>
          <a:off x="23764875" y="5934075"/>
          <a:ext cx="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2076450</xdr:colOff>
      <xdr:row>69</xdr:row>
      <xdr:rowOff>0</xdr:rowOff>
    </xdr:from>
    <xdr:to>
      <xdr:col>19</xdr:col>
      <xdr:colOff>2419350</xdr:colOff>
      <xdr:row>69</xdr:row>
      <xdr:rowOff>0</xdr:rowOff>
    </xdr:to>
    <xdr:cxnSp macro="">
      <xdr:nvCxnSpPr>
        <xdr:cNvPr id="239" name="1 Conector recto"/>
        <xdr:cNvCxnSpPr/>
      </xdr:nvCxnSpPr>
      <xdr:spPr>
        <a:xfrm>
          <a:off x="24555450" y="6172200"/>
          <a:ext cx="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1524000</xdr:colOff>
      <xdr:row>68</xdr:row>
      <xdr:rowOff>9525</xdr:rowOff>
    </xdr:from>
    <xdr:to>
      <xdr:col>19</xdr:col>
      <xdr:colOff>1657350</xdr:colOff>
      <xdr:row>68</xdr:row>
      <xdr:rowOff>9525</xdr:rowOff>
    </xdr:to>
    <xdr:cxnSp macro="">
      <xdr:nvCxnSpPr>
        <xdr:cNvPr id="240" name="2 Conector recto"/>
        <xdr:cNvCxnSpPr/>
      </xdr:nvCxnSpPr>
      <xdr:spPr>
        <a:xfrm>
          <a:off x="24555450" y="5934075"/>
          <a:ext cx="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2076450</xdr:colOff>
      <xdr:row>69</xdr:row>
      <xdr:rowOff>0</xdr:rowOff>
    </xdr:from>
    <xdr:to>
      <xdr:col>16</xdr:col>
      <xdr:colOff>2419350</xdr:colOff>
      <xdr:row>69</xdr:row>
      <xdr:rowOff>0</xdr:rowOff>
    </xdr:to>
    <xdr:cxnSp macro="">
      <xdr:nvCxnSpPr>
        <xdr:cNvPr id="241" name="1 Conector recto"/>
        <xdr:cNvCxnSpPr/>
      </xdr:nvCxnSpPr>
      <xdr:spPr>
        <a:xfrm>
          <a:off x="22183725" y="6172200"/>
          <a:ext cx="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1524000</xdr:colOff>
      <xdr:row>68</xdr:row>
      <xdr:rowOff>9525</xdr:rowOff>
    </xdr:from>
    <xdr:to>
      <xdr:col>16</xdr:col>
      <xdr:colOff>1657350</xdr:colOff>
      <xdr:row>68</xdr:row>
      <xdr:rowOff>9525</xdr:rowOff>
    </xdr:to>
    <xdr:cxnSp macro="">
      <xdr:nvCxnSpPr>
        <xdr:cNvPr id="242" name="2 Conector recto"/>
        <xdr:cNvCxnSpPr/>
      </xdr:nvCxnSpPr>
      <xdr:spPr>
        <a:xfrm>
          <a:off x="22183725" y="5934075"/>
          <a:ext cx="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454434</xdr:colOff>
      <xdr:row>67</xdr:row>
      <xdr:rowOff>180053</xdr:rowOff>
    </xdr:from>
    <xdr:to>
      <xdr:col>17</xdr:col>
      <xdr:colOff>623938</xdr:colOff>
      <xdr:row>67</xdr:row>
      <xdr:rowOff>180053</xdr:rowOff>
    </xdr:to>
    <xdr:cxnSp macro="">
      <xdr:nvCxnSpPr>
        <xdr:cNvPr id="243" name="97 Conector recto"/>
        <xdr:cNvCxnSpPr/>
      </xdr:nvCxnSpPr>
      <xdr:spPr>
        <a:xfrm>
          <a:off x="22638159" y="18058478"/>
          <a:ext cx="16950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463959</xdr:colOff>
      <xdr:row>67</xdr:row>
      <xdr:rowOff>213647</xdr:rowOff>
    </xdr:from>
    <xdr:to>
      <xdr:col>17</xdr:col>
      <xdr:colOff>633463</xdr:colOff>
      <xdr:row>67</xdr:row>
      <xdr:rowOff>213647</xdr:rowOff>
    </xdr:to>
    <xdr:cxnSp macro="">
      <xdr:nvCxnSpPr>
        <xdr:cNvPr id="244" name="97 Conector recto"/>
        <xdr:cNvCxnSpPr/>
      </xdr:nvCxnSpPr>
      <xdr:spPr>
        <a:xfrm>
          <a:off x="22647684" y="18092072"/>
          <a:ext cx="16950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272640</xdr:colOff>
      <xdr:row>54</xdr:row>
      <xdr:rowOff>52849</xdr:rowOff>
    </xdr:from>
    <xdr:to>
      <xdr:col>19</xdr:col>
      <xdr:colOff>367890</xdr:colOff>
      <xdr:row>54</xdr:row>
      <xdr:rowOff>52849</xdr:rowOff>
    </xdr:to>
    <xdr:cxnSp macro="">
      <xdr:nvCxnSpPr>
        <xdr:cNvPr id="245" name="91 Conector recto"/>
        <xdr:cNvCxnSpPr/>
      </xdr:nvCxnSpPr>
      <xdr:spPr>
        <a:xfrm>
          <a:off x="24037515" y="12968749"/>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2076450</xdr:colOff>
      <xdr:row>53</xdr:row>
      <xdr:rowOff>38100</xdr:rowOff>
    </xdr:from>
    <xdr:to>
      <xdr:col>15</xdr:col>
      <xdr:colOff>2171700</xdr:colOff>
      <xdr:row>53</xdr:row>
      <xdr:rowOff>38100</xdr:rowOff>
    </xdr:to>
    <xdr:cxnSp macro="">
      <xdr:nvCxnSpPr>
        <xdr:cNvPr id="246" name="91 Conector recto"/>
        <xdr:cNvCxnSpPr/>
      </xdr:nvCxnSpPr>
      <xdr:spPr>
        <a:xfrm>
          <a:off x="19431000" y="94297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2038350</xdr:colOff>
      <xdr:row>54</xdr:row>
      <xdr:rowOff>57150</xdr:rowOff>
    </xdr:from>
    <xdr:to>
      <xdr:col>15</xdr:col>
      <xdr:colOff>2133600</xdr:colOff>
      <xdr:row>54</xdr:row>
      <xdr:rowOff>57150</xdr:rowOff>
    </xdr:to>
    <xdr:cxnSp macro="">
      <xdr:nvCxnSpPr>
        <xdr:cNvPr id="247" name="91 Conector recto"/>
        <xdr:cNvCxnSpPr/>
      </xdr:nvCxnSpPr>
      <xdr:spPr>
        <a:xfrm>
          <a:off x="19392900" y="96964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2057400</xdr:colOff>
      <xdr:row>55</xdr:row>
      <xdr:rowOff>47625</xdr:rowOff>
    </xdr:from>
    <xdr:to>
      <xdr:col>15</xdr:col>
      <xdr:colOff>2152650</xdr:colOff>
      <xdr:row>55</xdr:row>
      <xdr:rowOff>47625</xdr:rowOff>
    </xdr:to>
    <xdr:cxnSp macro="">
      <xdr:nvCxnSpPr>
        <xdr:cNvPr id="248" name="91 Conector recto"/>
        <xdr:cNvCxnSpPr/>
      </xdr:nvCxnSpPr>
      <xdr:spPr>
        <a:xfrm>
          <a:off x="19411950" y="993457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2057400</xdr:colOff>
      <xdr:row>56</xdr:row>
      <xdr:rowOff>19050</xdr:rowOff>
    </xdr:from>
    <xdr:to>
      <xdr:col>15</xdr:col>
      <xdr:colOff>2152650</xdr:colOff>
      <xdr:row>56</xdr:row>
      <xdr:rowOff>19050</xdr:rowOff>
    </xdr:to>
    <xdr:cxnSp macro="">
      <xdr:nvCxnSpPr>
        <xdr:cNvPr id="249" name="91 Conector recto"/>
        <xdr:cNvCxnSpPr/>
      </xdr:nvCxnSpPr>
      <xdr:spPr>
        <a:xfrm>
          <a:off x="19411950" y="101536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2066925</xdr:colOff>
      <xdr:row>57</xdr:row>
      <xdr:rowOff>38100</xdr:rowOff>
    </xdr:from>
    <xdr:to>
      <xdr:col>15</xdr:col>
      <xdr:colOff>2162175</xdr:colOff>
      <xdr:row>57</xdr:row>
      <xdr:rowOff>38100</xdr:rowOff>
    </xdr:to>
    <xdr:cxnSp macro="">
      <xdr:nvCxnSpPr>
        <xdr:cNvPr id="250" name="91 Conector recto"/>
        <xdr:cNvCxnSpPr/>
      </xdr:nvCxnSpPr>
      <xdr:spPr>
        <a:xfrm>
          <a:off x="19421475" y="104203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2066925</xdr:colOff>
      <xdr:row>58</xdr:row>
      <xdr:rowOff>66675</xdr:rowOff>
    </xdr:from>
    <xdr:to>
      <xdr:col>15</xdr:col>
      <xdr:colOff>2162175</xdr:colOff>
      <xdr:row>58</xdr:row>
      <xdr:rowOff>66675</xdr:rowOff>
    </xdr:to>
    <xdr:cxnSp macro="">
      <xdr:nvCxnSpPr>
        <xdr:cNvPr id="251" name="91 Conector recto"/>
        <xdr:cNvCxnSpPr/>
      </xdr:nvCxnSpPr>
      <xdr:spPr>
        <a:xfrm>
          <a:off x="19421475" y="1069657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2095500</xdr:colOff>
      <xdr:row>59</xdr:row>
      <xdr:rowOff>28575</xdr:rowOff>
    </xdr:from>
    <xdr:to>
      <xdr:col>15</xdr:col>
      <xdr:colOff>2190750</xdr:colOff>
      <xdr:row>59</xdr:row>
      <xdr:rowOff>28575</xdr:rowOff>
    </xdr:to>
    <xdr:cxnSp macro="">
      <xdr:nvCxnSpPr>
        <xdr:cNvPr id="252" name="91 Conector recto"/>
        <xdr:cNvCxnSpPr/>
      </xdr:nvCxnSpPr>
      <xdr:spPr>
        <a:xfrm>
          <a:off x="19450050" y="1090612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2066925</xdr:colOff>
      <xdr:row>60</xdr:row>
      <xdr:rowOff>57150</xdr:rowOff>
    </xdr:from>
    <xdr:to>
      <xdr:col>15</xdr:col>
      <xdr:colOff>2162175</xdr:colOff>
      <xdr:row>60</xdr:row>
      <xdr:rowOff>57150</xdr:rowOff>
    </xdr:to>
    <xdr:cxnSp macro="">
      <xdr:nvCxnSpPr>
        <xdr:cNvPr id="253" name="91 Conector recto"/>
        <xdr:cNvCxnSpPr/>
      </xdr:nvCxnSpPr>
      <xdr:spPr>
        <a:xfrm>
          <a:off x="19421475" y="111823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2076450</xdr:colOff>
      <xdr:row>61</xdr:row>
      <xdr:rowOff>47625</xdr:rowOff>
    </xdr:from>
    <xdr:to>
      <xdr:col>15</xdr:col>
      <xdr:colOff>2171700</xdr:colOff>
      <xdr:row>61</xdr:row>
      <xdr:rowOff>47625</xdr:rowOff>
    </xdr:to>
    <xdr:cxnSp macro="">
      <xdr:nvCxnSpPr>
        <xdr:cNvPr id="254" name="91 Conector recto"/>
        <xdr:cNvCxnSpPr/>
      </xdr:nvCxnSpPr>
      <xdr:spPr>
        <a:xfrm>
          <a:off x="19431000" y="1142047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2038350</xdr:colOff>
      <xdr:row>62</xdr:row>
      <xdr:rowOff>28575</xdr:rowOff>
    </xdr:from>
    <xdr:to>
      <xdr:col>15</xdr:col>
      <xdr:colOff>2133600</xdr:colOff>
      <xdr:row>62</xdr:row>
      <xdr:rowOff>28575</xdr:rowOff>
    </xdr:to>
    <xdr:cxnSp macro="">
      <xdr:nvCxnSpPr>
        <xdr:cNvPr id="255" name="91 Conector recto"/>
        <xdr:cNvCxnSpPr/>
      </xdr:nvCxnSpPr>
      <xdr:spPr>
        <a:xfrm>
          <a:off x="19392900" y="116967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1819275</xdr:colOff>
      <xdr:row>53</xdr:row>
      <xdr:rowOff>76200</xdr:rowOff>
    </xdr:from>
    <xdr:to>
      <xdr:col>15</xdr:col>
      <xdr:colOff>1914525</xdr:colOff>
      <xdr:row>53</xdr:row>
      <xdr:rowOff>76200</xdr:rowOff>
    </xdr:to>
    <xdr:cxnSp macro="">
      <xdr:nvCxnSpPr>
        <xdr:cNvPr id="256" name="91 Conector recto"/>
        <xdr:cNvCxnSpPr/>
      </xdr:nvCxnSpPr>
      <xdr:spPr>
        <a:xfrm>
          <a:off x="19173825" y="946785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1790700</xdr:colOff>
      <xdr:row>54</xdr:row>
      <xdr:rowOff>85725</xdr:rowOff>
    </xdr:from>
    <xdr:to>
      <xdr:col>15</xdr:col>
      <xdr:colOff>1885950</xdr:colOff>
      <xdr:row>54</xdr:row>
      <xdr:rowOff>85725</xdr:rowOff>
    </xdr:to>
    <xdr:cxnSp macro="">
      <xdr:nvCxnSpPr>
        <xdr:cNvPr id="257" name="91 Conector recto"/>
        <xdr:cNvCxnSpPr/>
      </xdr:nvCxnSpPr>
      <xdr:spPr>
        <a:xfrm>
          <a:off x="19145250" y="972502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1828800</xdr:colOff>
      <xdr:row>55</xdr:row>
      <xdr:rowOff>85725</xdr:rowOff>
    </xdr:from>
    <xdr:to>
      <xdr:col>15</xdr:col>
      <xdr:colOff>1924050</xdr:colOff>
      <xdr:row>55</xdr:row>
      <xdr:rowOff>85725</xdr:rowOff>
    </xdr:to>
    <xdr:cxnSp macro="">
      <xdr:nvCxnSpPr>
        <xdr:cNvPr id="258" name="91 Conector recto"/>
        <xdr:cNvCxnSpPr/>
      </xdr:nvCxnSpPr>
      <xdr:spPr>
        <a:xfrm>
          <a:off x="19183350" y="997267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1790700</xdr:colOff>
      <xdr:row>56</xdr:row>
      <xdr:rowOff>76200</xdr:rowOff>
    </xdr:from>
    <xdr:to>
      <xdr:col>15</xdr:col>
      <xdr:colOff>1885950</xdr:colOff>
      <xdr:row>56</xdr:row>
      <xdr:rowOff>76200</xdr:rowOff>
    </xdr:to>
    <xdr:cxnSp macro="">
      <xdr:nvCxnSpPr>
        <xdr:cNvPr id="259" name="91 Conector recto"/>
        <xdr:cNvCxnSpPr/>
      </xdr:nvCxnSpPr>
      <xdr:spPr>
        <a:xfrm>
          <a:off x="19145250" y="102108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1838325</xdr:colOff>
      <xdr:row>57</xdr:row>
      <xdr:rowOff>57150</xdr:rowOff>
    </xdr:from>
    <xdr:to>
      <xdr:col>15</xdr:col>
      <xdr:colOff>1933575</xdr:colOff>
      <xdr:row>57</xdr:row>
      <xdr:rowOff>57150</xdr:rowOff>
    </xdr:to>
    <xdr:cxnSp macro="">
      <xdr:nvCxnSpPr>
        <xdr:cNvPr id="260" name="91 Conector recto"/>
        <xdr:cNvCxnSpPr/>
      </xdr:nvCxnSpPr>
      <xdr:spPr>
        <a:xfrm>
          <a:off x="19192875" y="104394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1800225</xdr:colOff>
      <xdr:row>58</xdr:row>
      <xdr:rowOff>76200</xdr:rowOff>
    </xdr:from>
    <xdr:to>
      <xdr:col>15</xdr:col>
      <xdr:colOff>1895475</xdr:colOff>
      <xdr:row>58</xdr:row>
      <xdr:rowOff>76200</xdr:rowOff>
    </xdr:to>
    <xdr:cxnSp macro="">
      <xdr:nvCxnSpPr>
        <xdr:cNvPr id="261" name="91 Conector recto"/>
        <xdr:cNvCxnSpPr/>
      </xdr:nvCxnSpPr>
      <xdr:spPr>
        <a:xfrm>
          <a:off x="19154775" y="107061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1847850</xdr:colOff>
      <xdr:row>59</xdr:row>
      <xdr:rowOff>57150</xdr:rowOff>
    </xdr:from>
    <xdr:to>
      <xdr:col>15</xdr:col>
      <xdr:colOff>1943100</xdr:colOff>
      <xdr:row>59</xdr:row>
      <xdr:rowOff>57150</xdr:rowOff>
    </xdr:to>
    <xdr:cxnSp macro="">
      <xdr:nvCxnSpPr>
        <xdr:cNvPr id="262" name="91 Conector recto"/>
        <xdr:cNvCxnSpPr/>
      </xdr:nvCxnSpPr>
      <xdr:spPr>
        <a:xfrm>
          <a:off x="19202400" y="109347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1781175</xdr:colOff>
      <xdr:row>60</xdr:row>
      <xdr:rowOff>76200</xdr:rowOff>
    </xdr:from>
    <xdr:to>
      <xdr:col>15</xdr:col>
      <xdr:colOff>1876425</xdr:colOff>
      <xdr:row>60</xdr:row>
      <xdr:rowOff>76200</xdr:rowOff>
    </xdr:to>
    <xdr:cxnSp macro="">
      <xdr:nvCxnSpPr>
        <xdr:cNvPr id="263" name="91 Conector recto"/>
        <xdr:cNvCxnSpPr/>
      </xdr:nvCxnSpPr>
      <xdr:spPr>
        <a:xfrm>
          <a:off x="19135725" y="11201400"/>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1819275</xdr:colOff>
      <xdr:row>61</xdr:row>
      <xdr:rowOff>104775</xdr:rowOff>
    </xdr:from>
    <xdr:to>
      <xdr:col>15</xdr:col>
      <xdr:colOff>1914525</xdr:colOff>
      <xdr:row>61</xdr:row>
      <xdr:rowOff>104775</xdr:rowOff>
    </xdr:to>
    <xdr:cxnSp macro="">
      <xdr:nvCxnSpPr>
        <xdr:cNvPr id="264" name="91 Conector recto"/>
        <xdr:cNvCxnSpPr/>
      </xdr:nvCxnSpPr>
      <xdr:spPr>
        <a:xfrm>
          <a:off x="19173825" y="1147762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1809750</xdr:colOff>
      <xdr:row>62</xdr:row>
      <xdr:rowOff>57150</xdr:rowOff>
    </xdr:from>
    <xdr:to>
      <xdr:col>15</xdr:col>
      <xdr:colOff>1905000</xdr:colOff>
      <xdr:row>62</xdr:row>
      <xdr:rowOff>57150</xdr:rowOff>
    </xdr:to>
    <xdr:cxnSp macro="">
      <xdr:nvCxnSpPr>
        <xdr:cNvPr id="265" name="91 Conector recto"/>
        <xdr:cNvCxnSpPr/>
      </xdr:nvCxnSpPr>
      <xdr:spPr>
        <a:xfrm>
          <a:off x="19164300" y="1172527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1999533</xdr:colOff>
      <xdr:row>72</xdr:row>
      <xdr:rowOff>248879</xdr:rowOff>
    </xdr:from>
    <xdr:to>
      <xdr:col>15</xdr:col>
      <xdr:colOff>2170983</xdr:colOff>
      <xdr:row>72</xdr:row>
      <xdr:rowOff>248879</xdr:rowOff>
    </xdr:to>
    <xdr:cxnSp macro="">
      <xdr:nvCxnSpPr>
        <xdr:cNvPr id="269" name="97 Conector recto"/>
        <xdr:cNvCxnSpPr/>
      </xdr:nvCxnSpPr>
      <xdr:spPr>
        <a:xfrm>
          <a:off x="19369856" y="19800734"/>
          <a:ext cx="171450" cy="0"/>
        </a:xfrm>
        <a:prstGeom prst="line">
          <a:avLst/>
        </a:prstGeom>
        <a:ln>
          <a:solidFill>
            <a:sysClr val="windowText" lastClr="00000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16</xdr:col>
      <xdr:colOff>177186</xdr:colOff>
      <xdr:row>72</xdr:row>
      <xdr:rowOff>279605</xdr:rowOff>
    </xdr:from>
    <xdr:to>
      <xdr:col>16</xdr:col>
      <xdr:colOff>348636</xdr:colOff>
      <xdr:row>72</xdr:row>
      <xdr:rowOff>279605</xdr:rowOff>
    </xdr:to>
    <xdr:cxnSp macro="">
      <xdr:nvCxnSpPr>
        <xdr:cNvPr id="270" name="97 Conector recto"/>
        <xdr:cNvCxnSpPr/>
      </xdr:nvCxnSpPr>
      <xdr:spPr>
        <a:xfrm>
          <a:off x="21582831" y="19831460"/>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207912</xdr:colOff>
      <xdr:row>72</xdr:row>
      <xdr:rowOff>291281</xdr:rowOff>
    </xdr:from>
    <xdr:to>
      <xdr:col>17</xdr:col>
      <xdr:colOff>379362</xdr:colOff>
      <xdr:row>72</xdr:row>
      <xdr:rowOff>291281</xdr:rowOff>
    </xdr:to>
    <xdr:cxnSp macro="">
      <xdr:nvCxnSpPr>
        <xdr:cNvPr id="272" name="97 Conector recto"/>
        <xdr:cNvCxnSpPr/>
      </xdr:nvCxnSpPr>
      <xdr:spPr>
        <a:xfrm>
          <a:off x="22402186" y="19843136"/>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104058</xdr:colOff>
      <xdr:row>72</xdr:row>
      <xdr:rowOff>289847</xdr:rowOff>
    </xdr:from>
    <xdr:to>
      <xdr:col>19</xdr:col>
      <xdr:colOff>275508</xdr:colOff>
      <xdr:row>72</xdr:row>
      <xdr:rowOff>289847</xdr:rowOff>
    </xdr:to>
    <xdr:cxnSp macro="">
      <xdr:nvCxnSpPr>
        <xdr:cNvPr id="273" name="97 Conector recto"/>
        <xdr:cNvCxnSpPr/>
      </xdr:nvCxnSpPr>
      <xdr:spPr>
        <a:xfrm>
          <a:off x="23875590" y="19841702"/>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155267</xdr:colOff>
      <xdr:row>72</xdr:row>
      <xdr:rowOff>278171</xdr:rowOff>
    </xdr:from>
    <xdr:to>
      <xdr:col>18</xdr:col>
      <xdr:colOff>326717</xdr:colOff>
      <xdr:row>72</xdr:row>
      <xdr:rowOff>278171</xdr:rowOff>
    </xdr:to>
    <xdr:cxnSp macro="">
      <xdr:nvCxnSpPr>
        <xdr:cNvPr id="274" name="97 Conector recto"/>
        <xdr:cNvCxnSpPr/>
      </xdr:nvCxnSpPr>
      <xdr:spPr>
        <a:xfrm>
          <a:off x="23138170" y="19830026"/>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85008</xdr:colOff>
      <xdr:row>72</xdr:row>
      <xdr:rowOff>289847</xdr:rowOff>
    </xdr:from>
    <xdr:to>
      <xdr:col>20</xdr:col>
      <xdr:colOff>256458</xdr:colOff>
      <xdr:row>72</xdr:row>
      <xdr:rowOff>289847</xdr:rowOff>
    </xdr:to>
    <xdr:cxnSp macro="">
      <xdr:nvCxnSpPr>
        <xdr:cNvPr id="275" name="97 Conector recto"/>
        <xdr:cNvCxnSpPr/>
      </xdr:nvCxnSpPr>
      <xdr:spPr>
        <a:xfrm>
          <a:off x="24645169" y="19841702"/>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2238375</xdr:colOff>
      <xdr:row>65</xdr:row>
      <xdr:rowOff>533400</xdr:rowOff>
    </xdr:from>
    <xdr:to>
      <xdr:col>0</xdr:col>
      <xdr:colOff>2919468</xdr:colOff>
      <xdr:row>65</xdr:row>
      <xdr:rowOff>535036</xdr:rowOff>
    </xdr:to>
    <xdr:cxnSp macro="">
      <xdr:nvCxnSpPr>
        <xdr:cNvPr id="276" name="126 Conector recto"/>
        <xdr:cNvCxnSpPr/>
      </xdr:nvCxnSpPr>
      <xdr:spPr>
        <a:xfrm>
          <a:off x="2238375" y="17554575"/>
          <a:ext cx="681093" cy="1636"/>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2571750</xdr:colOff>
      <xdr:row>54</xdr:row>
      <xdr:rowOff>57150</xdr:rowOff>
    </xdr:from>
    <xdr:to>
      <xdr:col>18</xdr:col>
      <xdr:colOff>2686050</xdr:colOff>
      <xdr:row>54</xdr:row>
      <xdr:rowOff>57150</xdr:rowOff>
    </xdr:to>
    <xdr:cxnSp macro="">
      <xdr:nvCxnSpPr>
        <xdr:cNvPr id="277" name="13 Conector recto"/>
        <xdr:cNvCxnSpPr/>
      </xdr:nvCxnSpPr>
      <xdr:spPr>
        <a:xfrm>
          <a:off x="2571750" y="12420600"/>
          <a:ext cx="1143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2019300</xdr:colOff>
      <xdr:row>55</xdr:row>
      <xdr:rowOff>238125</xdr:rowOff>
    </xdr:from>
    <xdr:to>
      <xdr:col>18</xdr:col>
      <xdr:colOff>2686050</xdr:colOff>
      <xdr:row>55</xdr:row>
      <xdr:rowOff>238125</xdr:rowOff>
    </xdr:to>
    <xdr:cxnSp macro="">
      <xdr:nvCxnSpPr>
        <xdr:cNvPr id="278" name="14 Conector recto"/>
        <xdr:cNvCxnSpPr/>
      </xdr:nvCxnSpPr>
      <xdr:spPr>
        <a:xfrm>
          <a:off x="2019300" y="12887325"/>
          <a:ext cx="66675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533400</xdr:colOff>
      <xdr:row>54</xdr:row>
      <xdr:rowOff>47625</xdr:rowOff>
    </xdr:from>
    <xdr:to>
      <xdr:col>19</xdr:col>
      <xdr:colOff>628650</xdr:colOff>
      <xdr:row>54</xdr:row>
      <xdr:rowOff>47625</xdr:rowOff>
    </xdr:to>
    <xdr:cxnSp macro="">
      <xdr:nvCxnSpPr>
        <xdr:cNvPr id="280" name="91 Conector recto"/>
        <xdr:cNvCxnSpPr/>
      </xdr:nvCxnSpPr>
      <xdr:spPr>
        <a:xfrm>
          <a:off x="24298275" y="12963525"/>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542208</xdr:colOff>
      <xdr:row>54</xdr:row>
      <xdr:rowOff>71181</xdr:rowOff>
    </xdr:from>
    <xdr:to>
      <xdr:col>19</xdr:col>
      <xdr:colOff>637458</xdr:colOff>
      <xdr:row>54</xdr:row>
      <xdr:rowOff>71181</xdr:rowOff>
    </xdr:to>
    <xdr:cxnSp macro="">
      <xdr:nvCxnSpPr>
        <xdr:cNvPr id="281" name="91 Conector recto"/>
        <xdr:cNvCxnSpPr/>
      </xdr:nvCxnSpPr>
      <xdr:spPr>
        <a:xfrm>
          <a:off x="24307083" y="12987081"/>
          <a:ext cx="952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64</xdr:row>
      <xdr:rowOff>19050</xdr:rowOff>
    </xdr:from>
    <xdr:to>
      <xdr:col>15</xdr:col>
      <xdr:colOff>609600</xdr:colOff>
      <xdr:row>64</xdr:row>
      <xdr:rowOff>19050</xdr:rowOff>
    </xdr:to>
    <xdr:cxnSp macro="">
      <xdr:nvCxnSpPr>
        <xdr:cNvPr id="268" name="75 Conector recto"/>
        <xdr:cNvCxnSpPr/>
      </xdr:nvCxnSpPr>
      <xdr:spPr>
        <a:xfrm>
          <a:off x="17802225" y="12134850"/>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1062498</xdr:colOff>
      <xdr:row>64</xdr:row>
      <xdr:rowOff>28575</xdr:rowOff>
    </xdr:from>
    <xdr:to>
      <xdr:col>15</xdr:col>
      <xdr:colOff>1224423</xdr:colOff>
      <xdr:row>64</xdr:row>
      <xdr:rowOff>28575</xdr:rowOff>
    </xdr:to>
    <xdr:cxnSp macro="">
      <xdr:nvCxnSpPr>
        <xdr:cNvPr id="271" name="75 Conector recto"/>
        <xdr:cNvCxnSpPr/>
      </xdr:nvCxnSpPr>
      <xdr:spPr>
        <a:xfrm>
          <a:off x="18432821" y="16753656"/>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1687564</xdr:colOff>
      <xdr:row>64</xdr:row>
      <xdr:rowOff>29293</xdr:rowOff>
    </xdr:from>
    <xdr:to>
      <xdr:col>15</xdr:col>
      <xdr:colOff>1849489</xdr:colOff>
      <xdr:row>64</xdr:row>
      <xdr:rowOff>29293</xdr:rowOff>
    </xdr:to>
    <xdr:cxnSp macro="">
      <xdr:nvCxnSpPr>
        <xdr:cNvPr id="279" name="75 Conector recto"/>
        <xdr:cNvCxnSpPr/>
      </xdr:nvCxnSpPr>
      <xdr:spPr>
        <a:xfrm>
          <a:off x="19057887" y="16754374"/>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2263571</xdr:colOff>
      <xdr:row>64</xdr:row>
      <xdr:rowOff>17617</xdr:rowOff>
    </xdr:from>
    <xdr:to>
      <xdr:col>15</xdr:col>
      <xdr:colOff>2425496</xdr:colOff>
      <xdr:row>64</xdr:row>
      <xdr:rowOff>17617</xdr:rowOff>
    </xdr:to>
    <xdr:cxnSp macro="">
      <xdr:nvCxnSpPr>
        <xdr:cNvPr id="282" name="75 Conector recto"/>
        <xdr:cNvCxnSpPr/>
      </xdr:nvCxnSpPr>
      <xdr:spPr>
        <a:xfrm>
          <a:off x="19633894" y="16742698"/>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2812435</xdr:colOff>
      <xdr:row>64</xdr:row>
      <xdr:rowOff>18334</xdr:rowOff>
    </xdr:from>
    <xdr:to>
      <xdr:col>15</xdr:col>
      <xdr:colOff>2974360</xdr:colOff>
      <xdr:row>64</xdr:row>
      <xdr:rowOff>18334</xdr:rowOff>
    </xdr:to>
    <xdr:cxnSp macro="">
      <xdr:nvCxnSpPr>
        <xdr:cNvPr id="283" name="75 Conector recto"/>
        <xdr:cNvCxnSpPr/>
      </xdr:nvCxnSpPr>
      <xdr:spPr>
        <a:xfrm>
          <a:off x="20182758" y="1674341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3351776</xdr:colOff>
      <xdr:row>64</xdr:row>
      <xdr:rowOff>39534</xdr:rowOff>
    </xdr:from>
    <xdr:to>
      <xdr:col>15</xdr:col>
      <xdr:colOff>3513701</xdr:colOff>
      <xdr:row>64</xdr:row>
      <xdr:rowOff>39534</xdr:rowOff>
    </xdr:to>
    <xdr:cxnSp macro="">
      <xdr:nvCxnSpPr>
        <xdr:cNvPr id="284" name="75 Conector recto"/>
        <xdr:cNvCxnSpPr/>
      </xdr:nvCxnSpPr>
      <xdr:spPr>
        <a:xfrm>
          <a:off x="20722099" y="16764615"/>
          <a:ext cx="1619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450645</xdr:colOff>
      <xdr:row>72</xdr:row>
      <xdr:rowOff>276532</xdr:rowOff>
    </xdr:from>
    <xdr:to>
      <xdr:col>16</xdr:col>
      <xdr:colOff>622095</xdr:colOff>
      <xdr:row>72</xdr:row>
      <xdr:rowOff>276532</xdr:rowOff>
    </xdr:to>
    <xdr:cxnSp macro="">
      <xdr:nvCxnSpPr>
        <xdr:cNvPr id="286" name="97 Conector recto"/>
        <xdr:cNvCxnSpPr/>
      </xdr:nvCxnSpPr>
      <xdr:spPr>
        <a:xfrm>
          <a:off x="21856290" y="19828387"/>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449416</xdr:colOff>
      <xdr:row>72</xdr:row>
      <xdr:rowOff>234335</xdr:rowOff>
    </xdr:from>
    <xdr:to>
      <xdr:col>16</xdr:col>
      <xdr:colOff>620866</xdr:colOff>
      <xdr:row>72</xdr:row>
      <xdr:rowOff>234335</xdr:rowOff>
    </xdr:to>
    <xdr:cxnSp macro="">
      <xdr:nvCxnSpPr>
        <xdr:cNvPr id="287" name="97 Conector recto"/>
        <xdr:cNvCxnSpPr/>
      </xdr:nvCxnSpPr>
      <xdr:spPr>
        <a:xfrm>
          <a:off x="21855061" y="19786190"/>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468671</xdr:colOff>
      <xdr:row>72</xdr:row>
      <xdr:rowOff>284316</xdr:rowOff>
    </xdr:from>
    <xdr:to>
      <xdr:col>17</xdr:col>
      <xdr:colOff>640121</xdr:colOff>
      <xdr:row>72</xdr:row>
      <xdr:rowOff>284316</xdr:rowOff>
    </xdr:to>
    <xdr:cxnSp macro="">
      <xdr:nvCxnSpPr>
        <xdr:cNvPr id="288" name="97 Conector recto"/>
        <xdr:cNvCxnSpPr/>
      </xdr:nvCxnSpPr>
      <xdr:spPr>
        <a:xfrm>
          <a:off x="22662945" y="19836171"/>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467442</xdr:colOff>
      <xdr:row>72</xdr:row>
      <xdr:rowOff>252361</xdr:rowOff>
    </xdr:from>
    <xdr:to>
      <xdr:col>17</xdr:col>
      <xdr:colOff>638892</xdr:colOff>
      <xdr:row>72</xdr:row>
      <xdr:rowOff>252361</xdr:rowOff>
    </xdr:to>
    <xdr:cxnSp macro="">
      <xdr:nvCxnSpPr>
        <xdr:cNvPr id="289" name="97 Conector recto"/>
        <xdr:cNvCxnSpPr/>
      </xdr:nvCxnSpPr>
      <xdr:spPr>
        <a:xfrm>
          <a:off x="22661716" y="19804216"/>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415004</xdr:colOff>
      <xdr:row>72</xdr:row>
      <xdr:rowOff>271616</xdr:rowOff>
    </xdr:from>
    <xdr:to>
      <xdr:col>18</xdr:col>
      <xdr:colOff>586454</xdr:colOff>
      <xdr:row>72</xdr:row>
      <xdr:rowOff>271616</xdr:rowOff>
    </xdr:to>
    <xdr:cxnSp macro="">
      <xdr:nvCxnSpPr>
        <xdr:cNvPr id="290" name="97 Conector recto"/>
        <xdr:cNvCxnSpPr/>
      </xdr:nvCxnSpPr>
      <xdr:spPr>
        <a:xfrm>
          <a:off x="23397907" y="19823471"/>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424017</xdr:colOff>
      <xdr:row>72</xdr:row>
      <xdr:rowOff>249903</xdr:rowOff>
    </xdr:from>
    <xdr:to>
      <xdr:col>18</xdr:col>
      <xdr:colOff>595467</xdr:colOff>
      <xdr:row>72</xdr:row>
      <xdr:rowOff>249903</xdr:rowOff>
    </xdr:to>
    <xdr:cxnSp macro="">
      <xdr:nvCxnSpPr>
        <xdr:cNvPr id="291" name="97 Conector recto"/>
        <xdr:cNvCxnSpPr/>
      </xdr:nvCxnSpPr>
      <xdr:spPr>
        <a:xfrm>
          <a:off x="23406920" y="19801758"/>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381820</xdr:colOff>
      <xdr:row>72</xdr:row>
      <xdr:rowOff>289642</xdr:rowOff>
    </xdr:from>
    <xdr:to>
      <xdr:col>19</xdr:col>
      <xdr:colOff>553270</xdr:colOff>
      <xdr:row>72</xdr:row>
      <xdr:rowOff>289642</xdr:rowOff>
    </xdr:to>
    <xdr:cxnSp macro="">
      <xdr:nvCxnSpPr>
        <xdr:cNvPr id="292" name="97 Conector recto"/>
        <xdr:cNvCxnSpPr/>
      </xdr:nvCxnSpPr>
      <xdr:spPr>
        <a:xfrm>
          <a:off x="24153352" y="19841497"/>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380591</xdr:colOff>
      <xdr:row>72</xdr:row>
      <xdr:rowOff>257687</xdr:rowOff>
    </xdr:from>
    <xdr:to>
      <xdr:col>19</xdr:col>
      <xdr:colOff>552041</xdr:colOff>
      <xdr:row>72</xdr:row>
      <xdr:rowOff>257687</xdr:rowOff>
    </xdr:to>
    <xdr:cxnSp macro="">
      <xdr:nvCxnSpPr>
        <xdr:cNvPr id="293" name="97 Conector recto"/>
        <xdr:cNvCxnSpPr/>
      </xdr:nvCxnSpPr>
      <xdr:spPr>
        <a:xfrm>
          <a:off x="24152123" y="19809542"/>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328152</xdr:colOff>
      <xdr:row>72</xdr:row>
      <xdr:rowOff>287184</xdr:rowOff>
    </xdr:from>
    <xdr:to>
      <xdr:col>20</xdr:col>
      <xdr:colOff>499602</xdr:colOff>
      <xdr:row>72</xdr:row>
      <xdr:rowOff>287184</xdr:rowOff>
    </xdr:to>
    <xdr:cxnSp macro="">
      <xdr:nvCxnSpPr>
        <xdr:cNvPr id="294" name="97 Conector recto"/>
        <xdr:cNvCxnSpPr/>
      </xdr:nvCxnSpPr>
      <xdr:spPr>
        <a:xfrm>
          <a:off x="24888313" y="19839039"/>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316681</xdr:colOff>
      <xdr:row>72</xdr:row>
      <xdr:rowOff>255229</xdr:rowOff>
    </xdr:from>
    <xdr:to>
      <xdr:col>20</xdr:col>
      <xdr:colOff>488131</xdr:colOff>
      <xdr:row>72</xdr:row>
      <xdr:rowOff>255229</xdr:rowOff>
    </xdr:to>
    <xdr:cxnSp macro="">
      <xdr:nvCxnSpPr>
        <xdr:cNvPr id="295" name="97 Conector recto"/>
        <xdr:cNvCxnSpPr/>
      </xdr:nvCxnSpPr>
      <xdr:spPr>
        <a:xfrm>
          <a:off x="24876842" y="19807084"/>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59404</xdr:colOff>
      <xdr:row>72</xdr:row>
      <xdr:rowOff>725129</xdr:rowOff>
    </xdr:from>
    <xdr:to>
      <xdr:col>23</xdr:col>
      <xdr:colOff>230854</xdr:colOff>
      <xdr:row>72</xdr:row>
      <xdr:rowOff>725129</xdr:rowOff>
    </xdr:to>
    <xdr:cxnSp macro="">
      <xdr:nvCxnSpPr>
        <xdr:cNvPr id="296" name="97 Conector recto"/>
        <xdr:cNvCxnSpPr/>
      </xdr:nvCxnSpPr>
      <xdr:spPr>
        <a:xfrm>
          <a:off x="26811339" y="20276984"/>
          <a:ext cx="171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781050</xdr:colOff>
      <xdr:row>61</xdr:row>
      <xdr:rowOff>133350</xdr:rowOff>
    </xdr:from>
    <xdr:to>
      <xdr:col>4</xdr:col>
      <xdr:colOff>391800</xdr:colOff>
      <xdr:row>61</xdr:row>
      <xdr:rowOff>133350</xdr:rowOff>
    </xdr:to>
    <xdr:cxnSp macro="">
      <xdr:nvCxnSpPr>
        <xdr:cNvPr id="285" name="124 Conector recto"/>
        <xdr:cNvCxnSpPr/>
      </xdr:nvCxnSpPr>
      <xdr:spPr>
        <a:xfrm flipV="1">
          <a:off x="7058025" y="16240125"/>
          <a:ext cx="46800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704850</xdr:colOff>
      <xdr:row>68</xdr:row>
      <xdr:rowOff>0</xdr:rowOff>
    </xdr:from>
    <xdr:to>
      <xdr:col>0</xdr:col>
      <xdr:colOff>1247775</xdr:colOff>
      <xdr:row>68</xdr:row>
      <xdr:rowOff>0</xdr:rowOff>
    </xdr:to>
    <xdr:cxnSp macro="">
      <xdr:nvCxnSpPr>
        <xdr:cNvPr id="2" name="1 Conector recto"/>
        <xdr:cNvCxnSpPr/>
      </xdr:nvCxnSpPr>
      <xdr:spPr>
        <a:xfrm>
          <a:off x="704850" y="14287500"/>
          <a:ext cx="5429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304800</xdr:colOff>
      <xdr:row>67</xdr:row>
      <xdr:rowOff>0</xdr:rowOff>
    </xdr:from>
    <xdr:to>
      <xdr:col>0</xdr:col>
      <xdr:colOff>438150</xdr:colOff>
      <xdr:row>67</xdr:row>
      <xdr:rowOff>0</xdr:rowOff>
    </xdr:to>
    <xdr:cxnSp macro="">
      <xdr:nvCxnSpPr>
        <xdr:cNvPr id="3" name="2 Conector recto"/>
        <xdr:cNvCxnSpPr/>
      </xdr:nvCxnSpPr>
      <xdr:spPr>
        <a:xfrm>
          <a:off x="304800" y="1403985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1314450</xdr:colOff>
      <xdr:row>68</xdr:row>
      <xdr:rowOff>0</xdr:rowOff>
    </xdr:from>
    <xdr:to>
      <xdr:col>0</xdr:col>
      <xdr:colOff>1743075</xdr:colOff>
      <xdr:row>68</xdr:row>
      <xdr:rowOff>0</xdr:rowOff>
    </xdr:to>
    <xdr:cxnSp macro="">
      <xdr:nvCxnSpPr>
        <xdr:cNvPr id="4" name="3 Conector recto"/>
        <xdr:cNvCxnSpPr/>
      </xdr:nvCxnSpPr>
      <xdr:spPr>
        <a:xfrm>
          <a:off x="1314450" y="14287500"/>
          <a:ext cx="4286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1243013</xdr:colOff>
      <xdr:row>64</xdr:row>
      <xdr:rowOff>23216</xdr:rowOff>
    </xdr:from>
    <xdr:to>
      <xdr:col>0</xdr:col>
      <xdr:colOff>1376363</xdr:colOff>
      <xdr:row>64</xdr:row>
      <xdr:rowOff>23216</xdr:rowOff>
    </xdr:to>
    <xdr:cxnSp macro="">
      <xdr:nvCxnSpPr>
        <xdr:cNvPr id="7" name="6 Conector recto"/>
        <xdr:cNvCxnSpPr/>
      </xdr:nvCxnSpPr>
      <xdr:spPr>
        <a:xfrm>
          <a:off x="1243013" y="16215716"/>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79</xdr:row>
      <xdr:rowOff>304800</xdr:rowOff>
    </xdr:from>
    <xdr:to>
      <xdr:col>3</xdr:col>
      <xdr:colOff>762000</xdr:colOff>
      <xdr:row>79</xdr:row>
      <xdr:rowOff>304800</xdr:rowOff>
    </xdr:to>
    <xdr:cxnSp macro="">
      <xdr:nvCxnSpPr>
        <xdr:cNvPr id="8" name="7 Conector recto"/>
        <xdr:cNvCxnSpPr/>
      </xdr:nvCxnSpPr>
      <xdr:spPr>
        <a:xfrm>
          <a:off x="5610225" y="18669000"/>
          <a:ext cx="6953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485775</xdr:colOff>
      <xdr:row>79</xdr:row>
      <xdr:rowOff>123825</xdr:rowOff>
    </xdr:from>
    <xdr:to>
      <xdr:col>0</xdr:col>
      <xdr:colOff>619125</xdr:colOff>
      <xdr:row>79</xdr:row>
      <xdr:rowOff>123825</xdr:rowOff>
    </xdr:to>
    <xdr:cxnSp macro="">
      <xdr:nvCxnSpPr>
        <xdr:cNvPr id="9" name="8 Conector recto"/>
        <xdr:cNvCxnSpPr/>
      </xdr:nvCxnSpPr>
      <xdr:spPr>
        <a:xfrm>
          <a:off x="485775" y="21802725"/>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1181100</xdr:colOff>
      <xdr:row>79</xdr:row>
      <xdr:rowOff>295275</xdr:rowOff>
    </xdr:from>
    <xdr:to>
      <xdr:col>2</xdr:col>
      <xdr:colOff>28575</xdr:colOff>
      <xdr:row>79</xdr:row>
      <xdr:rowOff>295275</xdr:rowOff>
    </xdr:to>
    <xdr:cxnSp macro="">
      <xdr:nvCxnSpPr>
        <xdr:cNvPr id="10" name="9 Conector recto"/>
        <xdr:cNvCxnSpPr/>
      </xdr:nvCxnSpPr>
      <xdr:spPr>
        <a:xfrm>
          <a:off x="4162425" y="18659475"/>
          <a:ext cx="4286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904875</xdr:colOff>
      <xdr:row>72</xdr:row>
      <xdr:rowOff>152400</xdr:rowOff>
    </xdr:from>
    <xdr:to>
      <xdr:col>1</xdr:col>
      <xdr:colOff>1038225</xdr:colOff>
      <xdr:row>72</xdr:row>
      <xdr:rowOff>152400</xdr:rowOff>
    </xdr:to>
    <xdr:cxnSp macro="">
      <xdr:nvCxnSpPr>
        <xdr:cNvPr id="12" name="11 Conector recto"/>
        <xdr:cNvCxnSpPr/>
      </xdr:nvCxnSpPr>
      <xdr:spPr>
        <a:xfrm>
          <a:off x="3886200" y="1815465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781050</xdr:colOff>
      <xdr:row>87</xdr:row>
      <xdr:rowOff>38100</xdr:rowOff>
    </xdr:from>
    <xdr:to>
      <xdr:col>0</xdr:col>
      <xdr:colOff>1133475</xdr:colOff>
      <xdr:row>87</xdr:row>
      <xdr:rowOff>38100</xdr:rowOff>
    </xdr:to>
    <xdr:cxnSp macro="">
      <xdr:nvCxnSpPr>
        <xdr:cNvPr id="16" name="15 Conector recto"/>
        <xdr:cNvCxnSpPr/>
      </xdr:nvCxnSpPr>
      <xdr:spPr>
        <a:xfrm>
          <a:off x="781050" y="23402925"/>
          <a:ext cx="3524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93</xdr:row>
      <xdr:rowOff>400050</xdr:rowOff>
    </xdr:from>
    <xdr:to>
      <xdr:col>2</xdr:col>
      <xdr:colOff>876300</xdr:colOff>
      <xdr:row>93</xdr:row>
      <xdr:rowOff>400050</xdr:rowOff>
    </xdr:to>
    <xdr:cxnSp macro="">
      <xdr:nvCxnSpPr>
        <xdr:cNvPr id="22" name="11 Conector recto"/>
        <xdr:cNvCxnSpPr/>
      </xdr:nvCxnSpPr>
      <xdr:spPr>
        <a:xfrm>
          <a:off x="5305425" y="270129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790575</xdr:colOff>
      <xdr:row>71</xdr:row>
      <xdr:rowOff>76200</xdr:rowOff>
    </xdr:from>
    <xdr:to>
      <xdr:col>4</xdr:col>
      <xdr:colOff>923925</xdr:colOff>
      <xdr:row>71</xdr:row>
      <xdr:rowOff>76200</xdr:rowOff>
    </xdr:to>
    <xdr:cxnSp macro="">
      <xdr:nvCxnSpPr>
        <xdr:cNvPr id="23" name="11 Conector recto"/>
        <xdr:cNvCxnSpPr/>
      </xdr:nvCxnSpPr>
      <xdr:spPr>
        <a:xfrm>
          <a:off x="7315200" y="18640425"/>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1609725</xdr:colOff>
      <xdr:row>77</xdr:row>
      <xdr:rowOff>95250</xdr:rowOff>
    </xdr:from>
    <xdr:to>
      <xdr:col>0</xdr:col>
      <xdr:colOff>1743075</xdr:colOff>
      <xdr:row>77</xdr:row>
      <xdr:rowOff>95250</xdr:rowOff>
    </xdr:to>
    <xdr:cxnSp macro="">
      <xdr:nvCxnSpPr>
        <xdr:cNvPr id="24" name="8 Conector recto"/>
        <xdr:cNvCxnSpPr/>
      </xdr:nvCxnSpPr>
      <xdr:spPr>
        <a:xfrm>
          <a:off x="1609725" y="1998345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78</xdr:row>
      <xdr:rowOff>95250</xdr:rowOff>
    </xdr:from>
    <xdr:to>
      <xdr:col>2</xdr:col>
      <xdr:colOff>323850</xdr:colOff>
      <xdr:row>80</xdr:row>
      <xdr:rowOff>295275</xdr:rowOff>
    </xdr:to>
    <xdr:sp macro="" textlink="">
      <xdr:nvSpPr>
        <xdr:cNvPr id="26" name="Abrir corchete 25"/>
        <xdr:cNvSpPr/>
      </xdr:nvSpPr>
      <xdr:spPr>
        <a:xfrm>
          <a:off x="4629150" y="18259425"/>
          <a:ext cx="257175" cy="7143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CL" sz="1100"/>
        </a:p>
      </xdr:txBody>
    </xdr:sp>
    <xdr:clientData/>
  </xdr:twoCellAnchor>
  <xdr:twoCellAnchor>
    <xdr:from>
      <xdr:col>4</xdr:col>
      <xdr:colOff>180974</xdr:colOff>
      <xdr:row>78</xdr:row>
      <xdr:rowOff>76201</xdr:rowOff>
    </xdr:from>
    <xdr:to>
      <xdr:col>4</xdr:col>
      <xdr:colOff>419099</xdr:colOff>
      <xdr:row>80</xdr:row>
      <xdr:rowOff>266701</xdr:rowOff>
    </xdr:to>
    <xdr:sp macro="" textlink="">
      <xdr:nvSpPr>
        <xdr:cNvPr id="27" name="Cerrar corchete 26"/>
        <xdr:cNvSpPr/>
      </xdr:nvSpPr>
      <xdr:spPr>
        <a:xfrm>
          <a:off x="6648449" y="18240376"/>
          <a:ext cx="238125" cy="7048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CL" sz="1100"/>
        </a:p>
      </xdr:txBody>
    </xdr:sp>
    <xdr:clientData/>
  </xdr:twoCellAnchor>
  <xdr:twoCellAnchor>
    <xdr:from>
      <xdr:col>1</xdr:col>
      <xdr:colOff>923925</xdr:colOff>
      <xdr:row>78</xdr:row>
      <xdr:rowOff>28575</xdr:rowOff>
    </xdr:from>
    <xdr:to>
      <xdr:col>1</xdr:col>
      <xdr:colOff>1238250</xdr:colOff>
      <xdr:row>80</xdr:row>
      <xdr:rowOff>247650</xdr:rowOff>
    </xdr:to>
    <xdr:cxnSp macro="">
      <xdr:nvCxnSpPr>
        <xdr:cNvPr id="28" name="9 Conector recto"/>
        <xdr:cNvCxnSpPr/>
      </xdr:nvCxnSpPr>
      <xdr:spPr>
        <a:xfrm flipH="1">
          <a:off x="3905250" y="18192750"/>
          <a:ext cx="314325" cy="733425"/>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1238254</xdr:colOff>
      <xdr:row>78</xdr:row>
      <xdr:rowOff>28575</xdr:rowOff>
    </xdr:from>
    <xdr:to>
      <xdr:col>4</xdr:col>
      <xdr:colOff>476250</xdr:colOff>
      <xdr:row>78</xdr:row>
      <xdr:rowOff>28576</xdr:rowOff>
    </xdr:to>
    <xdr:cxnSp macro="">
      <xdr:nvCxnSpPr>
        <xdr:cNvPr id="29" name="9 Conector recto"/>
        <xdr:cNvCxnSpPr/>
      </xdr:nvCxnSpPr>
      <xdr:spPr>
        <a:xfrm flipH="1">
          <a:off x="4219579" y="18192750"/>
          <a:ext cx="2724146" cy="1"/>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733425</xdr:colOff>
      <xdr:row>78</xdr:row>
      <xdr:rowOff>114300</xdr:rowOff>
    </xdr:from>
    <xdr:to>
      <xdr:col>1</xdr:col>
      <xdr:colOff>933450</xdr:colOff>
      <xdr:row>80</xdr:row>
      <xdr:rowOff>247650</xdr:rowOff>
    </xdr:to>
    <xdr:cxnSp macro="">
      <xdr:nvCxnSpPr>
        <xdr:cNvPr id="30" name="9 Conector recto"/>
        <xdr:cNvCxnSpPr/>
      </xdr:nvCxnSpPr>
      <xdr:spPr>
        <a:xfrm>
          <a:off x="3714750" y="18278475"/>
          <a:ext cx="200025" cy="64770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923926</xdr:colOff>
      <xdr:row>79</xdr:row>
      <xdr:rowOff>0</xdr:rowOff>
    </xdr:from>
    <xdr:to>
      <xdr:col>3</xdr:col>
      <xdr:colOff>819151</xdr:colOff>
      <xdr:row>81</xdr:row>
      <xdr:rowOff>0</xdr:rowOff>
    </xdr:to>
    <xdr:sp macro="" textlink="">
      <xdr:nvSpPr>
        <xdr:cNvPr id="31" name="Corchetes 30"/>
        <xdr:cNvSpPr/>
      </xdr:nvSpPr>
      <xdr:spPr>
        <a:xfrm>
          <a:off x="5486401" y="18364200"/>
          <a:ext cx="8763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CL" sz="1100"/>
        </a:p>
      </xdr:txBody>
    </xdr:sp>
    <xdr:clientData/>
  </xdr:twoCellAnchor>
  <xdr:twoCellAnchor>
    <xdr:from>
      <xdr:col>0</xdr:col>
      <xdr:colOff>542925</xdr:colOff>
      <xdr:row>86</xdr:row>
      <xdr:rowOff>285750</xdr:rowOff>
    </xdr:from>
    <xdr:to>
      <xdr:col>0</xdr:col>
      <xdr:colOff>1238250</xdr:colOff>
      <xdr:row>86</xdr:row>
      <xdr:rowOff>285750</xdr:rowOff>
    </xdr:to>
    <xdr:cxnSp macro="">
      <xdr:nvCxnSpPr>
        <xdr:cNvPr id="32" name="7 Conector recto"/>
        <xdr:cNvCxnSpPr/>
      </xdr:nvCxnSpPr>
      <xdr:spPr>
        <a:xfrm>
          <a:off x="542925" y="23336250"/>
          <a:ext cx="6953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352425</xdr:colOff>
      <xdr:row>93</xdr:row>
      <xdr:rowOff>314325</xdr:rowOff>
    </xdr:from>
    <xdr:to>
      <xdr:col>3</xdr:col>
      <xdr:colOff>762000</xdr:colOff>
      <xdr:row>93</xdr:row>
      <xdr:rowOff>314325</xdr:rowOff>
    </xdr:to>
    <xdr:cxnSp macro="">
      <xdr:nvCxnSpPr>
        <xdr:cNvPr id="34" name="7 Conector recto"/>
        <xdr:cNvCxnSpPr/>
      </xdr:nvCxnSpPr>
      <xdr:spPr>
        <a:xfrm>
          <a:off x="4914900" y="25850850"/>
          <a:ext cx="139065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90</xdr:row>
      <xdr:rowOff>142875</xdr:rowOff>
    </xdr:from>
    <xdr:to>
      <xdr:col>0</xdr:col>
      <xdr:colOff>1543050</xdr:colOff>
      <xdr:row>90</xdr:row>
      <xdr:rowOff>142875</xdr:rowOff>
    </xdr:to>
    <xdr:cxnSp macro="">
      <xdr:nvCxnSpPr>
        <xdr:cNvPr id="35" name="8 Conector recto"/>
        <xdr:cNvCxnSpPr/>
      </xdr:nvCxnSpPr>
      <xdr:spPr>
        <a:xfrm>
          <a:off x="1409700" y="24850725"/>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1485900</xdr:colOff>
      <xdr:row>89</xdr:row>
      <xdr:rowOff>342900</xdr:rowOff>
    </xdr:from>
    <xdr:to>
      <xdr:col>0</xdr:col>
      <xdr:colOff>1619250</xdr:colOff>
      <xdr:row>89</xdr:row>
      <xdr:rowOff>342900</xdr:rowOff>
    </xdr:to>
    <xdr:cxnSp macro="">
      <xdr:nvCxnSpPr>
        <xdr:cNvPr id="33" name="8 Conector recto"/>
        <xdr:cNvCxnSpPr/>
      </xdr:nvCxnSpPr>
      <xdr:spPr>
        <a:xfrm>
          <a:off x="1485900" y="24526875"/>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103</xdr:row>
      <xdr:rowOff>85725</xdr:rowOff>
    </xdr:from>
    <xdr:to>
      <xdr:col>3</xdr:col>
      <xdr:colOff>152400</xdr:colOff>
      <xdr:row>103</xdr:row>
      <xdr:rowOff>85725</xdr:rowOff>
    </xdr:to>
    <xdr:cxnSp macro="">
      <xdr:nvCxnSpPr>
        <xdr:cNvPr id="36" name="11 Conector recto"/>
        <xdr:cNvCxnSpPr/>
      </xdr:nvCxnSpPr>
      <xdr:spPr>
        <a:xfrm>
          <a:off x="5562600" y="31099125"/>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1419225</xdr:colOff>
      <xdr:row>99</xdr:row>
      <xdr:rowOff>285750</xdr:rowOff>
    </xdr:from>
    <xdr:to>
      <xdr:col>0</xdr:col>
      <xdr:colOff>1552575</xdr:colOff>
      <xdr:row>99</xdr:row>
      <xdr:rowOff>285750</xdr:rowOff>
    </xdr:to>
    <xdr:cxnSp macro="">
      <xdr:nvCxnSpPr>
        <xdr:cNvPr id="38" name="8 Conector recto"/>
        <xdr:cNvCxnSpPr/>
      </xdr:nvCxnSpPr>
      <xdr:spPr>
        <a:xfrm>
          <a:off x="1419225" y="2882265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1924050</xdr:colOff>
      <xdr:row>98</xdr:row>
      <xdr:rowOff>333375</xdr:rowOff>
    </xdr:from>
    <xdr:to>
      <xdr:col>0</xdr:col>
      <xdr:colOff>2057400</xdr:colOff>
      <xdr:row>98</xdr:row>
      <xdr:rowOff>333375</xdr:rowOff>
    </xdr:to>
    <xdr:cxnSp macro="">
      <xdr:nvCxnSpPr>
        <xdr:cNvPr id="39" name="8 Conector recto"/>
        <xdr:cNvCxnSpPr/>
      </xdr:nvCxnSpPr>
      <xdr:spPr>
        <a:xfrm>
          <a:off x="1924050" y="2836545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657225</xdr:colOff>
      <xdr:row>103</xdr:row>
      <xdr:rowOff>0</xdr:rowOff>
    </xdr:from>
    <xdr:to>
      <xdr:col>3</xdr:col>
      <xdr:colOff>390525</xdr:colOff>
      <xdr:row>103</xdr:row>
      <xdr:rowOff>0</xdr:rowOff>
    </xdr:to>
    <xdr:cxnSp macro="">
      <xdr:nvCxnSpPr>
        <xdr:cNvPr id="40" name="7 Conector recto"/>
        <xdr:cNvCxnSpPr/>
      </xdr:nvCxnSpPr>
      <xdr:spPr>
        <a:xfrm>
          <a:off x="5219700" y="31013400"/>
          <a:ext cx="71437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109</xdr:row>
      <xdr:rowOff>257175</xdr:rowOff>
    </xdr:from>
    <xdr:to>
      <xdr:col>2</xdr:col>
      <xdr:colOff>323850</xdr:colOff>
      <xdr:row>109</xdr:row>
      <xdr:rowOff>257175</xdr:rowOff>
    </xdr:to>
    <xdr:cxnSp macro="">
      <xdr:nvCxnSpPr>
        <xdr:cNvPr id="41" name="11 Conector recto"/>
        <xdr:cNvCxnSpPr/>
      </xdr:nvCxnSpPr>
      <xdr:spPr>
        <a:xfrm>
          <a:off x="4752975" y="31851600"/>
          <a:ext cx="133350" cy="0"/>
        </a:xfrm>
        <a:prstGeom prst="line">
          <a:avLst/>
        </a:prstGeom>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9</xdr:col>
      <xdr:colOff>619125</xdr:colOff>
      <xdr:row>112</xdr:row>
      <xdr:rowOff>47625</xdr:rowOff>
    </xdr:from>
    <xdr:to>
      <xdr:col>9</xdr:col>
      <xdr:colOff>1019175</xdr:colOff>
      <xdr:row>112</xdr:row>
      <xdr:rowOff>47625</xdr:rowOff>
    </xdr:to>
    <xdr:cxnSp macro="">
      <xdr:nvCxnSpPr>
        <xdr:cNvPr id="37" name="7 Conector recto"/>
        <xdr:cNvCxnSpPr/>
      </xdr:nvCxnSpPr>
      <xdr:spPr>
        <a:xfrm>
          <a:off x="7115175" y="35728275"/>
          <a:ext cx="400050"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1000125</xdr:colOff>
      <xdr:row>133</xdr:row>
      <xdr:rowOff>266700</xdr:rowOff>
    </xdr:from>
    <xdr:to>
      <xdr:col>1</xdr:col>
      <xdr:colOff>1133475</xdr:colOff>
      <xdr:row>133</xdr:row>
      <xdr:rowOff>266700</xdr:rowOff>
    </xdr:to>
    <xdr:cxnSp macro="">
      <xdr:nvCxnSpPr>
        <xdr:cNvPr id="42" name="8 Conector recto"/>
        <xdr:cNvCxnSpPr/>
      </xdr:nvCxnSpPr>
      <xdr:spPr>
        <a:xfrm>
          <a:off x="3981450" y="40157400"/>
          <a:ext cx="1333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809625</xdr:colOff>
      <xdr:row>137</xdr:row>
      <xdr:rowOff>114300</xdr:rowOff>
    </xdr:from>
    <xdr:to>
      <xdr:col>3</xdr:col>
      <xdr:colOff>953625</xdr:colOff>
      <xdr:row>137</xdr:row>
      <xdr:rowOff>222300</xdr:rowOff>
    </xdr:to>
    <xdr:sp macro="" textlink="">
      <xdr:nvSpPr>
        <xdr:cNvPr id="13" name="Multiplicar 12"/>
        <xdr:cNvSpPr/>
      </xdr:nvSpPr>
      <xdr:spPr>
        <a:xfrm>
          <a:off x="6353175" y="40414575"/>
          <a:ext cx="144000" cy="108000"/>
        </a:xfrm>
        <a:prstGeom prst="mathMultiply">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L" sz="1100"/>
        </a:p>
      </xdr:txBody>
    </xdr:sp>
    <xdr:clientData/>
  </xdr:twoCellAnchor>
  <xdr:twoCellAnchor>
    <xdr:from>
      <xdr:col>2</xdr:col>
      <xdr:colOff>542925</xdr:colOff>
      <xdr:row>137</xdr:row>
      <xdr:rowOff>28574</xdr:rowOff>
    </xdr:from>
    <xdr:to>
      <xdr:col>2</xdr:col>
      <xdr:colOff>686925</xdr:colOff>
      <xdr:row>137</xdr:row>
      <xdr:rowOff>136574</xdr:rowOff>
    </xdr:to>
    <xdr:sp macro="" textlink="">
      <xdr:nvSpPr>
        <xdr:cNvPr id="17" name="Más 16"/>
        <xdr:cNvSpPr/>
      </xdr:nvSpPr>
      <xdr:spPr>
        <a:xfrm>
          <a:off x="5105400" y="40328849"/>
          <a:ext cx="144000" cy="108000"/>
        </a:xfrm>
        <a:prstGeom prst="mathPlus">
          <a:avLst/>
        </a:prstGeom>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L" sz="1100"/>
        </a:p>
      </xdr:txBody>
    </xdr:sp>
    <xdr:clientData/>
  </xdr:twoCellAnchor>
  <xdr:twoCellAnchor>
    <xdr:from>
      <xdr:col>2</xdr:col>
      <xdr:colOff>523875</xdr:colOff>
      <xdr:row>137</xdr:row>
      <xdr:rowOff>104775</xdr:rowOff>
    </xdr:from>
    <xdr:to>
      <xdr:col>2</xdr:col>
      <xdr:colOff>703875</xdr:colOff>
      <xdr:row>137</xdr:row>
      <xdr:rowOff>248775</xdr:rowOff>
    </xdr:to>
    <xdr:sp macro="" textlink="">
      <xdr:nvSpPr>
        <xdr:cNvPr id="25" name="Menos 24"/>
        <xdr:cNvSpPr/>
      </xdr:nvSpPr>
      <xdr:spPr>
        <a:xfrm>
          <a:off x="5086350" y="40405050"/>
          <a:ext cx="180000" cy="144000"/>
        </a:xfrm>
        <a:prstGeom prst="mathMinus">
          <a:avLst/>
        </a:prstGeom>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L" sz="1100"/>
        </a:p>
      </xdr:txBody>
    </xdr:sp>
    <xdr:clientData/>
  </xdr:twoCellAnchor>
  <xdr:twoCellAnchor>
    <xdr:from>
      <xdr:col>16</xdr:col>
      <xdr:colOff>266700</xdr:colOff>
      <xdr:row>109</xdr:row>
      <xdr:rowOff>114300</xdr:rowOff>
    </xdr:from>
    <xdr:to>
      <xdr:col>20</xdr:col>
      <xdr:colOff>342900</xdr:colOff>
      <xdr:row>110</xdr:row>
      <xdr:rowOff>266700</xdr:rowOff>
    </xdr:to>
    <xdr:pic>
      <xdr:nvPicPr>
        <xdr:cNvPr id="46" name="Imagen 4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06575" y="32061150"/>
          <a:ext cx="25146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142875</xdr:colOff>
      <xdr:row>150</xdr:row>
      <xdr:rowOff>304800</xdr:rowOff>
    </xdr:from>
    <xdr:to>
      <xdr:col>4</xdr:col>
      <xdr:colOff>1219200</xdr:colOff>
      <xdr:row>150</xdr:row>
      <xdr:rowOff>304800</xdr:rowOff>
    </xdr:to>
    <xdr:cxnSp macro="">
      <xdr:nvCxnSpPr>
        <xdr:cNvPr id="51" name="7 Conector recto"/>
        <xdr:cNvCxnSpPr/>
      </xdr:nvCxnSpPr>
      <xdr:spPr>
        <a:xfrm>
          <a:off x="4705350" y="45758100"/>
          <a:ext cx="303847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172</xdr:row>
      <xdr:rowOff>0</xdr:rowOff>
    </xdr:from>
    <xdr:to>
      <xdr:col>4</xdr:col>
      <xdr:colOff>133350</xdr:colOff>
      <xdr:row>172</xdr:row>
      <xdr:rowOff>0</xdr:rowOff>
    </xdr:to>
    <xdr:cxnSp macro="">
      <xdr:nvCxnSpPr>
        <xdr:cNvPr id="52" name="7 Conector recto"/>
        <xdr:cNvCxnSpPr/>
      </xdr:nvCxnSpPr>
      <xdr:spPr>
        <a:xfrm>
          <a:off x="4591050" y="53816250"/>
          <a:ext cx="20669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171</xdr:row>
      <xdr:rowOff>190500</xdr:rowOff>
    </xdr:from>
    <xdr:to>
      <xdr:col>4</xdr:col>
      <xdr:colOff>334500</xdr:colOff>
      <xdr:row>172</xdr:row>
      <xdr:rowOff>50850</xdr:rowOff>
    </xdr:to>
    <xdr:sp macro="" textlink="">
      <xdr:nvSpPr>
        <xdr:cNvPr id="53" name="Multiplicar 52"/>
        <xdr:cNvSpPr/>
      </xdr:nvSpPr>
      <xdr:spPr>
        <a:xfrm>
          <a:off x="6715125" y="53759100"/>
          <a:ext cx="144000" cy="108000"/>
        </a:xfrm>
        <a:prstGeom prst="mathMultiply">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1076325</xdr:colOff>
      <xdr:row>24</xdr:row>
      <xdr:rowOff>19050</xdr:rowOff>
    </xdr:from>
    <xdr:to>
      <xdr:col>2</xdr:col>
      <xdr:colOff>323850</xdr:colOff>
      <xdr:row>28</xdr:row>
      <xdr:rowOff>28575</xdr:rowOff>
    </xdr:to>
    <xdr:sp macro="" textlink="">
      <xdr:nvSpPr>
        <xdr:cNvPr id="18" name="Llamada de flecha hacia arriba 17"/>
        <xdr:cNvSpPr/>
      </xdr:nvSpPr>
      <xdr:spPr>
        <a:xfrm>
          <a:off x="1076325" y="5267325"/>
          <a:ext cx="3810000" cy="1000125"/>
        </a:xfrm>
        <a:prstGeom prst="upArrowCallou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s-CL" sz="1100" b="0" i="0" u="none" strike="noStrike">
              <a:solidFill>
                <a:schemeClr val="lt1"/>
              </a:solidFill>
              <a:effectLst/>
              <a:latin typeface="+mn-lt"/>
              <a:ea typeface="+mn-ea"/>
              <a:cs typeface="+mn-cs"/>
            </a:rPr>
            <a:t>Varianza de la Repetibilidad    S</a:t>
          </a:r>
          <a:r>
            <a:rPr lang="es-CL" sz="1100" b="0" i="0" u="none" strike="noStrike" baseline="30000">
              <a:solidFill>
                <a:schemeClr val="lt1"/>
              </a:solidFill>
              <a:effectLst/>
              <a:latin typeface="+mn-lt"/>
              <a:ea typeface="+mn-ea"/>
              <a:cs typeface="+mn-cs"/>
            </a:rPr>
            <a:t>2</a:t>
          </a:r>
          <a:r>
            <a:rPr lang="es-CL" sz="1100" b="0" i="0" u="none" strike="noStrike" baseline="-25000">
              <a:solidFill>
                <a:schemeClr val="lt1"/>
              </a:solidFill>
              <a:effectLst/>
              <a:latin typeface="+mn-lt"/>
              <a:ea typeface="+mn-ea"/>
              <a:cs typeface="+mn-cs"/>
            </a:rPr>
            <a:t>R                                                              </a:t>
          </a:r>
          <a:r>
            <a:rPr lang="es-CL" sz="1100" b="0" i="0" u="none" strike="noStrike">
              <a:solidFill>
                <a:schemeClr val="lt1"/>
              </a:solidFill>
              <a:effectLst/>
              <a:latin typeface="+mn-lt"/>
              <a:ea typeface="+mn-ea"/>
              <a:cs typeface="+mn-cs"/>
            </a:rPr>
            <a:t>Varianza precisión Intermedia S</a:t>
          </a:r>
          <a:r>
            <a:rPr lang="es-CL" sz="1100" b="0" i="0" u="none" strike="noStrike" baseline="30000">
              <a:solidFill>
                <a:schemeClr val="lt1"/>
              </a:solidFill>
              <a:effectLst/>
              <a:latin typeface="+mn-lt"/>
              <a:ea typeface="+mn-ea"/>
              <a:cs typeface="+mn-cs"/>
            </a:rPr>
            <a:t>2</a:t>
          </a:r>
          <a:r>
            <a:rPr lang="es-CL" sz="1100" b="0" i="0" u="none" strike="noStrike" baseline="-25000">
              <a:solidFill>
                <a:schemeClr val="lt1"/>
              </a:solidFill>
              <a:effectLst/>
              <a:latin typeface="+mn-lt"/>
              <a:ea typeface="+mn-ea"/>
              <a:cs typeface="+mn-cs"/>
            </a:rPr>
            <a:t>WL                                             </a:t>
          </a:r>
          <a:r>
            <a:rPr lang="es-CL" sz="1100" b="0" i="0" u="none" strike="noStrike" baseline="0">
              <a:solidFill>
                <a:schemeClr val="lt1"/>
              </a:solidFill>
              <a:effectLst/>
              <a:latin typeface="+mn-lt"/>
              <a:ea typeface="+mn-ea"/>
              <a:cs typeface="+mn-cs"/>
            </a:rPr>
            <a:t> Provenientes del experimento de evaluación de la precisión</a:t>
          </a:r>
          <a:r>
            <a:rPr lang="es-CL"/>
            <a:t> </a:t>
          </a:r>
          <a:endParaRPr lang="es-CL" sz="1100" b="0" i="0" u="none" strike="noStrike" baseline="-25000">
            <a:solidFill>
              <a:schemeClr val="lt1"/>
            </a:solidFill>
            <a:effectLst/>
            <a:latin typeface="+mn-lt"/>
            <a:ea typeface="+mn-ea"/>
            <a:cs typeface="+mn-cs"/>
          </a:endParaRPr>
        </a:p>
        <a:p>
          <a:pPr algn="l"/>
          <a:r>
            <a:rPr lang="es-CL"/>
            <a:t> </a:t>
          </a:r>
          <a:endParaRPr lang="es-CL" sz="1100"/>
        </a:p>
      </xdr:txBody>
    </xdr:sp>
    <xdr:clientData/>
  </xdr:twoCellAnchor>
  <xdr:twoCellAnchor>
    <xdr:from>
      <xdr:col>10</xdr:col>
      <xdr:colOff>95250</xdr:colOff>
      <xdr:row>120</xdr:row>
      <xdr:rowOff>142875</xdr:rowOff>
    </xdr:from>
    <xdr:to>
      <xdr:col>12</xdr:col>
      <xdr:colOff>9525</xdr:colOff>
      <xdr:row>120</xdr:row>
      <xdr:rowOff>142875</xdr:rowOff>
    </xdr:to>
    <xdr:cxnSp macro="">
      <xdr:nvCxnSpPr>
        <xdr:cNvPr id="59" name="7 Conector recto"/>
        <xdr:cNvCxnSpPr/>
      </xdr:nvCxnSpPr>
      <xdr:spPr>
        <a:xfrm>
          <a:off x="11229975" y="37004625"/>
          <a:ext cx="1076325" cy="0"/>
        </a:xfrm>
        <a:prstGeom prst="line">
          <a:avLst/>
        </a:prstGeom>
        <a:ln w="12700">
          <a:solidFill>
            <a:schemeClr val="tx1"/>
          </a:solidFill>
        </a:ln>
        <a:effectLst>
          <a:outerShdw blurRad="50800" dist="50800" dir="5400000" algn="ctr" rotWithShape="0">
            <a:schemeClr val="tx1"/>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19050</xdr:colOff>
      <xdr:row>0</xdr:row>
      <xdr:rowOff>76201</xdr:rowOff>
    </xdr:from>
    <xdr:to>
      <xdr:col>16</xdr:col>
      <xdr:colOff>305700</xdr:colOff>
      <xdr:row>18</xdr:row>
      <xdr:rowOff>121521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9975" y="76201"/>
          <a:ext cx="5620650" cy="3512420"/>
        </a:xfrm>
        <a:prstGeom prst="rect">
          <a:avLst/>
        </a:prstGeom>
      </xdr:spPr>
    </xdr:pic>
    <xdr:clientData/>
  </xdr:twoCellAnchor>
  <xdr:twoCellAnchor editAs="oneCell">
    <xdr:from>
      <xdr:col>0</xdr:col>
      <xdr:colOff>246216</xdr:colOff>
      <xdr:row>12</xdr:row>
      <xdr:rowOff>95249</xdr:rowOff>
    </xdr:from>
    <xdr:to>
      <xdr:col>8</xdr:col>
      <xdr:colOff>19050</xdr:colOff>
      <xdr:row>20</xdr:row>
      <xdr:rowOff>104775</xdr:rowOff>
    </xdr:to>
    <xdr:pic>
      <xdr:nvPicPr>
        <xdr:cNvPr id="6" name="Imagen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216" y="2562224"/>
          <a:ext cx="6411759" cy="1333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333375</xdr:colOff>
      <xdr:row>2</xdr:row>
      <xdr:rowOff>190500</xdr:rowOff>
    </xdr:from>
    <xdr:to>
      <xdr:col>0</xdr:col>
      <xdr:colOff>790575</xdr:colOff>
      <xdr:row>2</xdr:row>
      <xdr:rowOff>190500</xdr:rowOff>
    </xdr:to>
    <xdr:cxnSp macro="">
      <xdr:nvCxnSpPr>
        <xdr:cNvPr id="8" name="Conector recto 7"/>
        <xdr:cNvCxnSpPr/>
      </xdr:nvCxnSpPr>
      <xdr:spPr>
        <a:xfrm>
          <a:off x="333375" y="581025"/>
          <a:ext cx="457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371475</xdr:colOff>
      <xdr:row>2</xdr:row>
      <xdr:rowOff>190500</xdr:rowOff>
    </xdr:from>
    <xdr:to>
      <xdr:col>3</xdr:col>
      <xdr:colOff>828675</xdr:colOff>
      <xdr:row>2</xdr:row>
      <xdr:rowOff>190500</xdr:rowOff>
    </xdr:to>
    <xdr:cxnSp macro="">
      <xdr:nvCxnSpPr>
        <xdr:cNvPr id="10" name="Conector recto 9"/>
        <xdr:cNvCxnSpPr/>
      </xdr:nvCxnSpPr>
      <xdr:spPr>
        <a:xfrm>
          <a:off x="2352675" y="581025"/>
          <a:ext cx="457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219075</xdr:colOff>
      <xdr:row>5</xdr:row>
      <xdr:rowOff>190500</xdr:rowOff>
    </xdr:from>
    <xdr:to>
      <xdr:col>3</xdr:col>
      <xdr:colOff>304801</xdr:colOff>
      <xdr:row>5</xdr:row>
      <xdr:rowOff>352425</xdr:rowOff>
    </xdr:to>
    <xdr:cxnSp macro="">
      <xdr:nvCxnSpPr>
        <xdr:cNvPr id="3" name="Conector recto 2"/>
        <xdr:cNvCxnSpPr/>
      </xdr:nvCxnSpPr>
      <xdr:spPr>
        <a:xfrm flipH="1">
          <a:off x="2619375" y="1885950"/>
          <a:ext cx="85726" cy="1619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Tabla22" displayName="Tabla22" ref="H29:J32" totalsRowShown="0" headerRowDxfId="20" dataDxfId="18" headerRowBorderDxfId="19" tableBorderDxfId="17" totalsRowBorderDxfId="16">
  <tableColumns count="3">
    <tableColumn id="1" name="N" dataDxfId="15"/>
    <tableColumn id="2" name="G" dataDxfId="14"/>
    <tableColumn id="3" name="no" dataDxfId="13"/>
  </tableColumns>
  <tableStyleInfo name="TableStyleMedium2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194"/>
  <sheetViews>
    <sheetView showGridLines="0" tabSelected="1" topLeftCell="A55" zoomScaleNormal="100" zoomScaleSheetLayoutView="93" workbookViewId="0">
      <selection activeCell="K14" sqref="K14:M14"/>
    </sheetView>
  </sheetViews>
  <sheetFormatPr baseColWidth="10" defaultColWidth="9.140625" defaultRowHeight="12.75" x14ac:dyDescent="0.2"/>
  <cols>
    <col min="1" max="1" width="68.140625" style="1" customWidth="1"/>
    <col min="2" max="3" width="13" style="3" customWidth="1"/>
    <col min="4" max="4" width="12.85546875" style="3" customWidth="1"/>
    <col min="5" max="5" width="21" style="3" customWidth="1"/>
    <col min="6" max="6" width="13.5703125" style="3" customWidth="1"/>
    <col min="7" max="7" width="12.28515625" style="1" customWidth="1"/>
    <col min="8" max="8" width="15.28515625" style="1" customWidth="1"/>
    <col min="9" max="9" width="12.7109375" style="1" customWidth="1"/>
    <col min="10" max="10" width="13.85546875" style="1" customWidth="1"/>
    <col min="11" max="11" width="9.42578125" style="7" customWidth="1"/>
    <col min="12" max="12" width="8" style="1" customWidth="1"/>
    <col min="13" max="14" width="20.7109375" style="1" customWidth="1"/>
    <col min="15" max="15" width="9.140625" style="1"/>
    <col min="16" max="16" width="60.5703125" style="1" customWidth="1"/>
    <col min="17" max="20" width="11.85546875" style="1" bestFit="1" customWidth="1"/>
    <col min="21" max="21" width="10.85546875" style="1" customWidth="1"/>
    <col min="22" max="22" width="12.28515625" style="1" bestFit="1" customWidth="1"/>
    <col min="23" max="23" width="9.7109375" style="1" bestFit="1" customWidth="1"/>
    <col min="24" max="24" width="9.140625" style="1"/>
    <col min="25" max="25" width="2" style="1" customWidth="1"/>
    <col min="26" max="16384" width="9.140625" style="1"/>
  </cols>
  <sheetData>
    <row r="1" spans="1:21" ht="12.75" customHeight="1" thickBot="1" x14ac:dyDescent="0.25">
      <c r="A1" s="17"/>
      <c r="B1" s="58"/>
      <c r="C1" s="58"/>
      <c r="D1" s="58"/>
      <c r="E1" s="58"/>
      <c r="F1" s="58"/>
      <c r="G1" s="8"/>
      <c r="H1" s="8"/>
      <c r="I1" s="8"/>
      <c r="J1" s="8"/>
      <c r="P1" s="582" t="s">
        <v>273</v>
      </c>
      <c r="Q1" s="583"/>
      <c r="R1" s="583"/>
      <c r="S1" s="583"/>
      <c r="T1" s="583"/>
      <c r="U1" s="584"/>
    </row>
    <row r="2" spans="1:21" ht="12.75" customHeight="1" x14ac:dyDescent="0.25">
      <c r="A2" s="66"/>
      <c r="B2" s="679" t="s">
        <v>0</v>
      </c>
      <c r="C2" s="680"/>
      <c r="D2" s="680"/>
      <c r="E2" s="680"/>
      <c r="F2" s="680"/>
      <c r="G2" s="680"/>
      <c r="H2" s="680"/>
      <c r="I2" s="680"/>
      <c r="J2" s="681"/>
      <c r="K2" s="21"/>
      <c r="P2" s="585"/>
      <c r="Q2" s="586"/>
      <c r="R2" s="586"/>
      <c r="S2" s="586"/>
      <c r="T2" s="586"/>
      <c r="U2" s="587"/>
    </row>
    <row r="3" spans="1:21" ht="12.75" customHeight="1" x14ac:dyDescent="0.25">
      <c r="A3" s="67"/>
      <c r="B3" s="682"/>
      <c r="C3" s="683"/>
      <c r="D3" s="683"/>
      <c r="E3" s="683"/>
      <c r="F3" s="683"/>
      <c r="G3" s="683"/>
      <c r="H3" s="683"/>
      <c r="I3" s="683"/>
      <c r="J3" s="684"/>
      <c r="K3" s="19"/>
      <c r="P3" s="693" t="s">
        <v>29</v>
      </c>
      <c r="Q3" s="271" t="s">
        <v>30</v>
      </c>
      <c r="R3" s="271" t="s">
        <v>31</v>
      </c>
      <c r="S3" s="272" t="s">
        <v>32</v>
      </c>
      <c r="T3" s="271" t="s">
        <v>33</v>
      </c>
      <c r="U3" s="271" t="s">
        <v>34</v>
      </c>
    </row>
    <row r="4" spans="1:21" ht="12.75" customHeight="1" x14ac:dyDescent="0.25">
      <c r="A4" s="67"/>
      <c r="B4" s="682"/>
      <c r="C4" s="683"/>
      <c r="D4" s="683"/>
      <c r="E4" s="683"/>
      <c r="F4" s="683"/>
      <c r="G4" s="683"/>
      <c r="H4" s="683"/>
      <c r="I4" s="683"/>
      <c r="J4" s="684"/>
      <c r="K4" s="19"/>
      <c r="P4" s="694"/>
      <c r="Q4" s="273">
        <f t="shared" ref="Q4:U9" si="0">B23</f>
        <v>41384</v>
      </c>
      <c r="R4" s="273">
        <f t="shared" si="0"/>
        <v>41385</v>
      </c>
      <c r="S4" s="274">
        <f t="shared" si="0"/>
        <v>41386</v>
      </c>
      <c r="T4" s="273">
        <f t="shared" si="0"/>
        <v>41387</v>
      </c>
      <c r="U4" s="273">
        <f t="shared" si="0"/>
        <v>41388</v>
      </c>
    </row>
    <row r="5" spans="1:21" ht="12.75" customHeight="1" x14ac:dyDescent="0.25">
      <c r="A5" s="67"/>
      <c r="B5" s="685"/>
      <c r="C5" s="686"/>
      <c r="D5" s="686"/>
      <c r="E5" s="686"/>
      <c r="F5" s="686"/>
      <c r="G5" s="686"/>
      <c r="H5" s="686"/>
      <c r="I5" s="686"/>
      <c r="J5" s="687"/>
      <c r="K5" s="19"/>
      <c r="P5" s="121">
        <v>1</v>
      </c>
      <c r="Q5" s="121">
        <f t="shared" si="0"/>
        <v>140</v>
      </c>
      <c r="R5" s="121">
        <f t="shared" si="0"/>
        <v>140</v>
      </c>
      <c r="S5" s="275">
        <f t="shared" si="0"/>
        <v>140</v>
      </c>
      <c r="T5" s="121">
        <f t="shared" si="0"/>
        <v>141</v>
      </c>
      <c r="U5" s="121">
        <f t="shared" si="0"/>
        <v>139</v>
      </c>
    </row>
    <row r="6" spans="1:21" ht="12.75" customHeight="1" x14ac:dyDescent="0.25">
      <c r="A6" s="67"/>
      <c r="B6" s="688" t="s">
        <v>1</v>
      </c>
      <c r="C6" s="689"/>
      <c r="D6" s="690" t="s">
        <v>2</v>
      </c>
      <c r="E6" s="690"/>
      <c r="F6" s="690"/>
      <c r="G6" s="690"/>
      <c r="H6" s="690"/>
      <c r="I6" s="690"/>
      <c r="J6" s="691"/>
      <c r="K6" s="26"/>
      <c r="P6" s="122">
        <v>2</v>
      </c>
      <c r="Q6" s="122">
        <f t="shared" si="0"/>
        <v>139</v>
      </c>
      <c r="R6" s="122">
        <f t="shared" si="0"/>
        <v>143</v>
      </c>
      <c r="S6" s="276">
        <f t="shared" si="0"/>
        <v>138</v>
      </c>
      <c r="T6" s="122">
        <f t="shared" si="0"/>
        <v>144</v>
      </c>
      <c r="U6" s="122">
        <f t="shared" si="0"/>
        <v>140</v>
      </c>
    </row>
    <row r="7" spans="1:21" ht="15.75" x14ac:dyDescent="0.25">
      <c r="A7" s="67"/>
      <c r="B7" s="688" t="s">
        <v>3</v>
      </c>
      <c r="C7" s="689"/>
      <c r="D7" s="692"/>
      <c r="E7" s="692"/>
      <c r="F7" s="692"/>
      <c r="G7" s="692"/>
      <c r="H7" s="692"/>
      <c r="I7" s="692"/>
      <c r="J7" s="692"/>
      <c r="K7" s="26"/>
      <c r="P7" s="121">
        <v>3</v>
      </c>
      <c r="Q7" s="121">
        <f t="shared" si="0"/>
        <v>138</v>
      </c>
      <c r="R7" s="121">
        <f t="shared" si="0"/>
        <v>141</v>
      </c>
      <c r="S7" s="275">
        <f t="shared" si="0"/>
        <v>136</v>
      </c>
      <c r="T7" s="121">
        <f t="shared" si="0"/>
        <v>142</v>
      </c>
      <c r="U7" s="121">
        <f t="shared" si="0"/>
        <v>141</v>
      </c>
    </row>
    <row r="8" spans="1:21" ht="15.75" x14ac:dyDescent="0.25">
      <c r="A8" s="67"/>
      <c r="B8" s="688" t="s">
        <v>4</v>
      </c>
      <c r="C8" s="689"/>
      <c r="D8" s="690"/>
      <c r="E8" s="690"/>
      <c r="F8" s="690"/>
      <c r="G8" s="690"/>
      <c r="H8" s="690"/>
      <c r="I8" s="690"/>
      <c r="J8" s="690"/>
      <c r="K8" s="26"/>
      <c r="P8" s="277">
        <v>4</v>
      </c>
      <c r="Q8" s="122">
        <f t="shared" si="0"/>
        <v>138</v>
      </c>
      <c r="R8" s="122">
        <f t="shared" si="0"/>
        <v>143</v>
      </c>
      <c r="S8" s="276">
        <f t="shared" si="0"/>
        <v>141</v>
      </c>
      <c r="T8" s="122">
        <f t="shared" si="0"/>
        <v>143</v>
      </c>
      <c r="U8" s="122">
        <f t="shared" si="0"/>
        <v>138</v>
      </c>
    </row>
    <row r="9" spans="1:21" ht="12.75" customHeight="1" thickBot="1" x14ac:dyDescent="0.3">
      <c r="A9" s="67"/>
      <c r="B9" s="638" t="s">
        <v>5</v>
      </c>
      <c r="C9" s="639"/>
      <c r="D9" s="640">
        <v>42676</v>
      </c>
      <c r="E9" s="640"/>
      <c r="F9" s="640"/>
      <c r="G9" s="640"/>
      <c r="H9" s="640"/>
      <c r="I9" s="640"/>
      <c r="J9" s="640"/>
      <c r="K9" s="27"/>
      <c r="P9" s="121">
        <v>5</v>
      </c>
      <c r="Q9" s="121">
        <f t="shared" si="0"/>
        <v>140</v>
      </c>
      <c r="R9" s="121">
        <f t="shared" si="0"/>
        <v>137</v>
      </c>
      <c r="S9" s="275">
        <f t="shared" si="0"/>
        <v>136</v>
      </c>
      <c r="T9" s="121">
        <f t="shared" si="0"/>
        <v>144</v>
      </c>
      <c r="U9" s="121">
        <f t="shared" si="0"/>
        <v>141</v>
      </c>
    </row>
    <row r="10" spans="1:21" ht="23.25" x14ac:dyDescent="0.35">
      <c r="A10" s="90" t="s">
        <v>185</v>
      </c>
      <c r="B10" s="641" t="s">
        <v>6</v>
      </c>
      <c r="C10" s="641"/>
      <c r="D10" s="641"/>
      <c r="E10" s="641"/>
      <c r="F10" s="641"/>
      <c r="G10" s="641"/>
      <c r="H10" s="641"/>
      <c r="P10" s="278" t="s">
        <v>7</v>
      </c>
      <c r="Q10" s="605">
        <v>5</v>
      </c>
      <c r="R10" s="605"/>
      <c r="S10" s="605"/>
      <c r="T10" s="605"/>
      <c r="U10" s="606"/>
    </row>
    <row r="11" spans="1:21" ht="18.75" x14ac:dyDescent="0.2">
      <c r="A11" s="661" t="s">
        <v>8</v>
      </c>
      <c r="B11" s="661"/>
      <c r="C11" s="661"/>
      <c r="D11" s="661"/>
      <c r="E11" s="661"/>
      <c r="F11" s="661"/>
      <c r="G11" s="661"/>
      <c r="H11" s="661"/>
      <c r="I11" s="661"/>
      <c r="J11" s="661"/>
      <c r="K11" s="661"/>
      <c r="P11" s="279" t="s">
        <v>9</v>
      </c>
      <c r="Q11" s="577">
        <v>5</v>
      </c>
      <c r="R11" s="578"/>
      <c r="S11" s="578"/>
      <c r="T11" s="578"/>
      <c r="U11" s="579"/>
    </row>
    <row r="12" spans="1:21" ht="18.75" x14ac:dyDescent="0.2">
      <c r="A12" s="703" t="s">
        <v>10</v>
      </c>
      <c r="B12" s="703"/>
      <c r="C12" s="703"/>
      <c r="D12" s="703"/>
      <c r="E12" s="703"/>
      <c r="F12" s="703"/>
      <c r="G12" s="703"/>
      <c r="H12" s="703"/>
      <c r="I12" s="703"/>
      <c r="J12" s="703"/>
      <c r="K12" s="703"/>
      <c r="P12" s="130" t="s">
        <v>146</v>
      </c>
      <c r="Q12" s="280">
        <f>Q5-$Q$29</f>
        <v>-0.12000000000000455</v>
      </c>
      <c r="R12" s="280">
        <f>R5-$Q$29</f>
        <v>-0.12000000000000455</v>
      </c>
      <c r="S12" s="280">
        <f>S5-$Q$29</f>
        <v>-0.12000000000000455</v>
      </c>
      <c r="T12" s="280">
        <f>T5-$Q$29</f>
        <v>0.87999999999999545</v>
      </c>
      <c r="U12" s="280">
        <f>U5-$Q$29</f>
        <v>-1.1200000000000045</v>
      </c>
    </row>
    <row r="13" spans="1:21" ht="18.75" x14ac:dyDescent="0.2">
      <c r="A13" s="2"/>
      <c r="B13" s="2"/>
      <c r="C13" s="2"/>
      <c r="D13" s="2"/>
      <c r="E13" s="2"/>
      <c r="F13" s="2"/>
      <c r="G13" s="2"/>
      <c r="H13" s="554"/>
      <c r="I13" s="555"/>
      <c r="J13" s="555"/>
      <c r="K13" s="556"/>
      <c r="L13" s="557"/>
      <c r="P13" s="133" t="s">
        <v>147</v>
      </c>
      <c r="Q13" s="134">
        <f>POWER(Q12,2)</f>
        <v>1.4400000000001091E-2</v>
      </c>
      <c r="R13" s="134">
        <f t="shared" ref="R13:U13" si="1">POWER(R12,2)</f>
        <v>1.4400000000001091E-2</v>
      </c>
      <c r="S13" s="134">
        <f t="shared" si="1"/>
        <v>1.4400000000001091E-2</v>
      </c>
      <c r="T13" s="134">
        <f t="shared" si="1"/>
        <v>0.77439999999999198</v>
      </c>
      <c r="U13" s="134">
        <f t="shared" si="1"/>
        <v>1.2544000000000102</v>
      </c>
    </row>
    <row r="14" spans="1:21" ht="18.75" customHeight="1" x14ac:dyDescent="0.25">
      <c r="A14" s="91" t="s">
        <v>286</v>
      </c>
      <c r="B14" s="704"/>
      <c r="C14" s="705"/>
      <c r="D14" s="52"/>
      <c r="E14" s="949" t="s">
        <v>12</v>
      </c>
      <c r="F14" s="950"/>
      <c r="G14" s="64" t="s">
        <v>13</v>
      </c>
      <c r="I14" s="957" t="s">
        <v>14</v>
      </c>
      <c r="J14" s="950"/>
      <c r="K14" s="958" t="s">
        <v>326</v>
      </c>
      <c r="L14" s="959"/>
      <c r="M14" s="960"/>
      <c r="P14" s="130" t="s">
        <v>148</v>
      </c>
      <c r="Q14" s="131">
        <f>Q6-$Q$29</f>
        <v>-1.1200000000000045</v>
      </c>
      <c r="R14" s="131">
        <f>R6-$Q$29</f>
        <v>2.8799999999999955</v>
      </c>
      <c r="S14" s="131">
        <f>S6-$Q$29</f>
        <v>-2.1200000000000045</v>
      </c>
      <c r="T14" s="131">
        <f>T6-$Q$29</f>
        <v>3.8799999999999955</v>
      </c>
      <c r="U14" s="131">
        <f>U6-$Q$29</f>
        <v>-0.12000000000000455</v>
      </c>
    </row>
    <row r="15" spans="1:21" ht="18.75" x14ac:dyDescent="0.25">
      <c r="A15" s="92" t="s">
        <v>15</v>
      </c>
      <c r="B15" s="706"/>
      <c r="C15" s="707"/>
      <c r="D15" s="560"/>
      <c r="E15" s="949" t="s">
        <v>16</v>
      </c>
      <c r="F15" s="950"/>
      <c r="G15" s="65">
        <v>142.5</v>
      </c>
      <c r="I15" s="957" t="s">
        <v>17</v>
      </c>
      <c r="J15" s="950"/>
      <c r="K15" s="958" t="s">
        <v>756</v>
      </c>
      <c r="L15" s="959"/>
      <c r="M15" s="960"/>
      <c r="P15" s="133" t="s">
        <v>149</v>
      </c>
      <c r="Q15" s="134">
        <f>POWER(Q14,2)</f>
        <v>1.2544000000000102</v>
      </c>
      <c r="R15" s="134">
        <f t="shared" ref="R15:U15" si="2">POWER(R14,2)</f>
        <v>8.2943999999999747</v>
      </c>
      <c r="S15" s="134">
        <f t="shared" si="2"/>
        <v>4.4944000000000193</v>
      </c>
      <c r="T15" s="134">
        <f t="shared" si="2"/>
        <v>15.054399999999966</v>
      </c>
      <c r="U15" s="134">
        <f t="shared" si="2"/>
        <v>1.4400000000001091E-2</v>
      </c>
    </row>
    <row r="16" spans="1:21" ht="24" customHeight="1" x14ac:dyDescent="0.35">
      <c r="A16" s="93" t="s">
        <v>18</v>
      </c>
      <c r="B16" s="708"/>
      <c r="C16" s="709"/>
      <c r="D16" s="560"/>
      <c r="E16" s="949" t="s">
        <v>337</v>
      </c>
      <c r="F16" s="950"/>
      <c r="G16" s="64">
        <v>25.3</v>
      </c>
      <c r="I16" s="957" t="s">
        <v>19</v>
      </c>
      <c r="J16" s="950"/>
      <c r="K16" s="958"/>
      <c r="L16" s="959"/>
      <c r="M16" s="960"/>
      <c r="P16" s="130" t="s">
        <v>150</v>
      </c>
      <c r="Q16" s="131">
        <f>Q7-$Q$29</f>
        <v>-2.1200000000000045</v>
      </c>
      <c r="R16" s="131">
        <f>R7-$Q$29</f>
        <v>0.87999999999999545</v>
      </c>
      <c r="S16" s="131">
        <f>S7-$Q$29</f>
        <v>-4.1200000000000045</v>
      </c>
      <c r="T16" s="131">
        <f>T7-$Q$29</f>
        <v>1.8799999999999955</v>
      </c>
      <c r="U16" s="131">
        <f>U7-$Q$29</f>
        <v>0.87999999999999545</v>
      </c>
    </row>
    <row r="17" spans="1:22" ht="18.75" customHeight="1" x14ac:dyDescent="0.35">
      <c r="A17" s="94" t="s">
        <v>20</v>
      </c>
      <c r="B17" s="710"/>
      <c r="C17" s="711"/>
      <c r="D17" s="560"/>
      <c r="E17" s="951" t="s">
        <v>338</v>
      </c>
      <c r="F17" s="952"/>
      <c r="G17" s="558">
        <f>(G15*G16)/100</f>
        <v>36.052500000000002</v>
      </c>
      <c r="I17" s="953" t="s">
        <v>26</v>
      </c>
      <c r="J17" s="953"/>
      <c r="K17" s="953"/>
      <c r="L17" s="954"/>
      <c r="M17" s="95">
        <f>B29-1</f>
        <v>4</v>
      </c>
      <c r="P17" s="133" t="s">
        <v>151</v>
      </c>
      <c r="Q17" s="134">
        <f>POWER(Q16,2)</f>
        <v>4.4944000000000193</v>
      </c>
      <c r="R17" s="134">
        <f t="shared" ref="R17:U17" si="3">POWER(R16,2)</f>
        <v>0.77439999999999198</v>
      </c>
      <c r="S17" s="134">
        <f>POWER(S16,2)</f>
        <v>16.974400000000038</v>
      </c>
      <c r="T17" s="134">
        <f t="shared" si="3"/>
        <v>3.5343999999999829</v>
      </c>
      <c r="U17" s="134">
        <f t="shared" si="3"/>
        <v>0.77439999999999198</v>
      </c>
    </row>
    <row r="18" spans="1:22" ht="19.5" customHeight="1" thickBot="1" x14ac:dyDescent="0.3">
      <c r="A18" s="93" t="s">
        <v>21</v>
      </c>
      <c r="B18" s="708" t="s">
        <v>22</v>
      </c>
      <c r="C18" s="709"/>
      <c r="D18" s="560"/>
      <c r="E18" s="949" t="s">
        <v>755</v>
      </c>
      <c r="F18" s="950"/>
      <c r="G18" s="423">
        <f>G16*0.25</f>
        <v>6.3250000000000002</v>
      </c>
      <c r="I18" s="955" t="s">
        <v>28</v>
      </c>
      <c r="J18" s="955"/>
      <c r="K18" s="955"/>
      <c r="L18" s="956"/>
      <c r="M18" s="96">
        <f>B30*(B29-1)</f>
        <v>20</v>
      </c>
      <c r="P18" s="130" t="s">
        <v>152</v>
      </c>
      <c r="Q18" s="131">
        <f>Q8-$Q$29</f>
        <v>-2.1200000000000045</v>
      </c>
      <c r="R18" s="131">
        <f>R8-$Q$29</f>
        <v>2.8799999999999955</v>
      </c>
      <c r="S18" s="131">
        <f>S8-$Q$29</f>
        <v>0.87999999999999545</v>
      </c>
      <c r="T18" s="131">
        <f>T8-$Q$29</f>
        <v>2.8799999999999955</v>
      </c>
      <c r="U18" s="131">
        <f>U8-$Q$29</f>
        <v>-2.1200000000000045</v>
      </c>
    </row>
    <row r="19" spans="1:22" ht="18.75" customHeight="1" x14ac:dyDescent="0.25">
      <c r="A19" s="94" t="s">
        <v>25</v>
      </c>
      <c r="B19" s="697">
        <v>3</v>
      </c>
      <c r="C19" s="698"/>
      <c r="D19" s="560"/>
      <c r="E19" s="949" t="s">
        <v>23</v>
      </c>
      <c r="F19" s="950"/>
      <c r="G19" s="64" t="s">
        <v>24</v>
      </c>
      <c r="J19" s="2"/>
      <c r="K19" s="20"/>
      <c r="P19" s="133" t="s">
        <v>153</v>
      </c>
      <c r="Q19" s="134">
        <f>POWER(Q18,2)</f>
        <v>4.4944000000000193</v>
      </c>
      <c r="R19" s="134">
        <f t="shared" ref="R19:U19" si="4">POWER(R18,2)</f>
        <v>8.2943999999999747</v>
      </c>
      <c r="S19" s="134">
        <f t="shared" si="4"/>
        <v>0.77439999999999198</v>
      </c>
      <c r="T19" s="134">
        <f t="shared" si="4"/>
        <v>8.2943999999999747</v>
      </c>
      <c r="U19" s="134">
        <f t="shared" si="4"/>
        <v>4.4944000000000193</v>
      </c>
    </row>
    <row r="20" spans="1:22" ht="18.75" customHeight="1" x14ac:dyDescent="0.2">
      <c r="A20" s="93" t="s">
        <v>27</v>
      </c>
      <c r="B20" s="699">
        <v>4.0999999999999996</v>
      </c>
      <c r="C20" s="700"/>
      <c r="D20" s="16"/>
      <c r="E20" s="454"/>
      <c r="F20" s="559"/>
      <c r="J20" s="2"/>
      <c r="P20" s="130" t="s">
        <v>154</v>
      </c>
      <c r="Q20" s="131">
        <f>Q9-$Q$29</f>
        <v>-0.12000000000000455</v>
      </c>
      <c r="R20" s="131">
        <f>R9-$Q$29</f>
        <v>-3.1200000000000045</v>
      </c>
      <c r="S20" s="131">
        <f>S9-$Q$29</f>
        <v>-4.1200000000000045</v>
      </c>
      <c r="T20" s="131">
        <f>T9-$Q$29</f>
        <v>3.8799999999999955</v>
      </c>
      <c r="U20" s="131">
        <f>U9-$Q$29</f>
        <v>0.87999999999999545</v>
      </c>
    </row>
    <row r="21" spans="1:22" ht="24" customHeight="1" thickBot="1" x14ac:dyDescent="0.25">
      <c r="A21" s="4"/>
      <c r="B21" s="5"/>
      <c r="C21" s="5"/>
      <c r="D21" s="5"/>
      <c r="E21" s="5"/>
      <c r="F21" s="5"/>
      <c r="H21" s="8"/>
      <c r="I21" s="8"/>
      <c r="N21" s="59"/>
      <c r="P21" s="133" t="s">
        <v>155</v>
      </c>
      <c r="Q21" s="134">
        <f>POWER(Q20,2)</f>
        <v>1.4400000000001091E-2</v>
      </c>
      <c r="R21" s="134">
        <f t="shared" ref="R21:U21" si="5">POWER(R20,2)</f>
        <v>9.7344000000000293</v>
      </c>
      <c r="S21" s="134">
        <f t="shared" si="5"/>
        <v>16.974400000000038</v>
      </c>
      <c r="T21" s="134">
        <f t="shared" si="5"/>
        <v>15.054399999999966</v>
      </c>
      <c r="U21" s="134">
        <f t="shared" si="5"/>
        <v>0.77439999999999198</v>
      </c>
    </row>
    <row r="22" spans="1:22" ht="20.100000000000001" customHeight="1" thickBot="1" x14ac:dyDescent="0.5">
      <c r="A22" s="724" t="s">
        <v>162</v>
      </c>
      <c r="B22" s="120" t="s">
        <v>30</v>
      </c>
      <c r="C22" s="120" t="s">
        <v>31</v>
      </c>
      <c r="D22" s="120" t="s">
        <v>32</v>
      </c>
      <c r="E22" s="120" t="s">
        <v>33</v>
      </c>
      <c r="F22" s="120" t="s">
        <v>34</v>
      </c>
      <c r="G22" s="8"/>
      <c r="H22" s="701" t="s">
        <v>35</v>
      </c>
      <c r="I22" s="702"/>
      <c r="J22" s="97"/>
      <c r="K22" s="98"/>
      <c r="L22" s="712" t="s">
        <v>164</v>
      </c>
      <c r="M22" s="713"/>
      <c r="N22" s="714"/>
      <c r="P22" s="281">
        <v>5</v>
      </c>
      <c r="Q22" s="668">
        <f>SUM(Q13,Q15,Q17,Q19,Q21)</f>
        <v>10.272000000000052</v>
      </c>
      <c r="R22" s="668">
        <f t="shared" ref="R22:U22" si="6">SUM(R13,R15,R17,R19,R21)</f>
        <v>27.111999999999973</v>
      </c>
      <c r="S22" s="668">
        <f t="shared" si="6"/>
        <v>39.232000000000092</v>
      </c>
      <c r="T22" s="668">
        <f t="shared" si="6"/>
        <v>42.711999999999883</v>
      </c>
      <c r="U22" s="668">
        <f t="shared" si="6"/>
        <v>7.3120000000000145</v>
      </c>
      <c r="V22" s="291" t="s">
        <v>267</v>
      </c>
    </row>
    <row r="23" spans="1:22" ht="20.100000000000001" customHeight="1" thickBot="1" x14ac:dyDescent="0.25">
      <c r="A23" s="725"/>
      <c r="B23" s="70">
        <v>41384</v>
      </c>
      <c r="C23" s="70">
        <v>41385</v>
      </c>
      <c r="D23" s="70">
        <v>41386</v>
      </c>
      <c r="E23" s="70">
        <v>41387</v>
      </c>
      <c r="F23" s="71">
        <v>41388</v>
      </c>
      <c r="G23" s="15"/>
      <c r="H23" s="99">
        <f>B58-(I32*Q36)</f>
        <v>132.9185926896196</v>
      </c>
      <c r="I23" s="100">
        <f>B58+(I32*Q36)</f>
        <v>147.32140731038035</v>
      </c>
      <c r="J23" s="97"/>
      <c r="K23" s="101"/>
      <c r="L23" s="102" t="s">
        <v>29</v>
      </c>
      <c r="M23" s="103" t="s">
        <v>162</v>
      </c>
      <c r="N23" s="104" t="s">
        <v>165</v>
      </c>
      <c r="P23" s="282" t="s">
        <v>160</v>
      </c>
      <c r="Q23" s="659"/>
      <c r="R23" s="659"/>
      <c r="S23" s="659"/>
      <c r="T23" s="659"/>
      <c r="U23" s="659"/>
      <c r="V23" s="695">
        <f>SUM(Q22:U24)</f>
        <v>126.64000000000001</v>
      </c>
    </row>
    <row r="24" spans="1:22" ht="20.100000000000001" customHeight="1" thickBot="1" x14ac:dyDescent="0.25">
      <c r="A24" s="121">
        <v>1</v>
      </c>
      <c r="B24" s="68">
        <v>140</v>
      </c>
      <c r="C24" s="68">
        <v>140</v>
      </c>
      <c r="D24" s="68">
        <v>140</v>
      </c>
      <c r="E24" s="68">
        <v>141</v>
      </c>
      <c r="F24" s="68">
        <v>139</v>
      </c>
      <c r="G24" s="15"/>
      <c r="H24" s="105"/>
      <c r="I24" s="105"/>
      <c r="J24" s="105"/>
      <c r="K24" s="106"/>
      <c r="L24" s="715">
        <v>1</v>
      </c>
      <c r="M24" s="107">
        <f>B24</f>
        <v>140</v>
      </c>
      <c r="N24" s="108" t="str">
        <f>IF(AND(M24&gt;=$H$23,M24&lt;=$I$23),"No aberrante","Aberrante, reevalúe")</f>
        <v>No aberrante</v>
      </c>
      <c r="P24" s="283" t="s">
        <v>37</v>
      </c>
      <c r="Q24" s="660"/>
      <c r="R24" s="660"/>
      <c r="S24" s="660"/>
      <c r="T24" s="660"/>
      <c r="U24" s="660"/>
      <c r="V24" s="696"/>
    </row>
    <row r="25" spans="1:22" ht="20.100000000000001" customHeight="1" thickBot="1" x14ac:dyDescent="0.25">
      <c r="A25" s="122">
        <v>2</v>
      </c>
      <c r="B25" s="69">
        <v>139</v>
      </c>
      <c r="C25" s="69">
        <v>143</v>
      </c>
      <c r="D25" s="69">
        <v>138</v>
      </c>
      <c r="E25" s="69">
        <v>144</v>
      </c>
      <c r="F25" s="69">
        <v>140</v>
      </c>
      <c r="G25" s="59"/>
      <c r="H25" s="718" t="s">
        <v>163</v>
      </c>
      <c r="I25" s="719"/>
      <c r="J25" s="720"/>
      <c r="K25" s="106"/>
      <c r="L25" s="716"/>
      <c r="M25" s="107">
        <f>B25</f>
        <v>139</v>
      </c>
      <c r="N25" s="108" t="str">
        <f t="shared" ref="N25:N48" si="7">IF(AND(M25&gt;=$H$23,M25&lt;=$I$23),"No aberrante","Aberrante, reevalúe")</f>
        <v>No aberrante</v>
      </c>
      <c r="O25" s="57"/>
      <c r="P25" s="596" t="s">
        <v>156</v>
      </c>
      <c r="Q25" s="673">
        <v>25</v>
      </c>
      <c r="R25" s="674"/>
      <c r="S25" s="674"/>
      <c r="T25" s="674"/>
      <c r="U25" s="675"/>
    </row>
    <row r="26" spans="1:22" ht="20.100000000000001" customHeight="1" thickBot="1" x14ac:dyDescent="0.25">
      <c r="A26" s="121">
        <v>3</v>
      </c>
      <c r="B26" s="68">
        <v>138</v>
      </c>
      <c r="C26" s="68">
        <v>141</v>
      </c>
      <c r="D26" s="68">
        <v>136</v>
      </c>
      <c r="E26" s="68">
        <v>142</v>
      </c>
      <c r="F26" s="68">
        <v>141</v>
      </c>
      <c r="G26" s="59"/>
      <c r="H26" s="721"/>
      <c r="I26" s="722"/>
      <c r="J26" s="723"/>
      <c r="K26" s="106"/>
      <c r="L26" s="716"/>
      <c r="M26" s="107">
        <f>B26</f>
        <v>138</v>
      </c>
      <c r="N26" s="108" t="str">
        <f t="shared" si="7"/>
        <v>No aberrante</v>
      </c>
      <c r="O26" s="57"/>
      <c r="P26" s="596"/>
      <c r="Q26" s="726" t="s">
        <v>157</v>
      </c>
      <c r="R26" s="727"/>
      <c r="S26" s="727"/>
      <c r="T26" s="727"/>
      <c r="U26" s="728"/>
    </row>
    <row r="27" spans="1:22" ht="20.100000000000001" customHeight="1" thickBot="1" x14ac:dyDescent="0.25">
      <c r="A27" s="122">
        <v>4</v>
      </c>
      <c r="B27" s="72">
        <v>138</v>
      </c>
      <c r="C27" s="72">
        <v>143</v>
      </c>
      <c r="D27" s="72">
        <v>141</v>
      </c>
      <c r="E27" s="72">
        <v>143</v>
      </c>
      <c r="F27" s="72">
        <v>138</v>
      </c>
      <c r="G27" s="59"/>
      <c r="H27" s="721"/>
      <c r="I27" s="722"/>
      <c r="J27" s="723"/>
      <c r="K27" s="106"/>
      <c r="L27" s="716"/>
      <c r="M27" s="107">
        <f>B27</f>
        <v>138</v>
      </c>
      <c r="N27" s="108" t="str">
        <f t="shared" si="7"/>
        <v>No aberrante</v>
      </c>
      <c r="O27" s="57"/>
      <c r="P27" s="596"/>
      <c r="Q27" s="676" t="s">
        <v>158</v>
      </c>
      <c r="R27" s="674"/>
      <c r="S27" s="674"/>
      <c r="T27" s="674"/>
      <c r="U27" s="675"/>
    </row>
    <row r="28" spans="1:22" ht="20.100000000000001" customHeight="1" thickBot="1" x14ac:dyDescent="0.25">
      <c r="A28" s="121">
        <v>5</v>
      </c>
      <c r="B28" s="73">
        <v>140</v>
      </c>
      <c r="C28" s="73">
        <v>137</v>
      </c>
      <c r="D28" s="73">
        <v>136</v>
      </c>
      <c r="E28" s="73">
        <v>144</v>
      </c>
      <c r="F28" s="73">
        <v>141</v>
      </c>
      <c r="G28" s="59"/>
      <c r="H28" s="664" t="s">
        <v>40</v>
      </c>
      <c r="I28" s="665"/>
      <c r="J28" s="666"/>
      <c r="K28" s="106"/>
      <c r="L28" s="717"/>
      <c r="M28" s="107">
        <f>B28</f>
        <v>140</v>
      </c>
      <c r="N28" s="108" t="str">
        <f t="shared" si="7"/>
        <v>No aberrante</v>
      </c>
      <c r="O28" s="57"/>
      <c r="P28" s="596"/>
      <c r="Q28" s="673">
        <v>25</v>
      </c>
      <c r="R28" s="674"/>
      <c r="S28" s="674"/>
      <c r="T28" s="674"/>
      <c r="U28" s="675"/>
    </row>
    <row r="29" spans="1:22" ht="20.100000000000001" customHeight="1" thickBot="1" x14ac:dyDescent="0.25">
      <c r="A29" s="123" t="s">
        <v>7</v>
      </c>
      <c r="B29" s="667">
        <v>5</v>
      </c>
      <c r="C29" s="605"/>
      <c r="D29" s="605"/>
      <c r="E29" s="605"/>
      <c r="F29" s="606"/>
      <c r="G29" s="63"/>
      <c r="H29" s="109" t="s">
        <v>41</v>
      </c>
      <c r="I29" s="109" t="s">
        <v>42</v>
      </c>
      <c r="J29" s="110" t="s">
        <v>43</v>
      </c>
      <c r="K29" s="106"/>
      <c r="L29" s="669">
        <v>2</v>
      </c>
      <c r="M29" s="111">
        <f>C24</f>
        <v>140</v>
      </c>
      <c r="N29" s="108" t="str">
        <f t="shared" si="7"/>
        <v>No aberrante</v>
      </c>
      <c r="O29" s="57"/>
      <c r="P29" s="284" t="s">
        <v>39</v>
      </c>
      <c r="Q29" s="662">
        <f>(AVERAGE(Q5:U9))</f>
        <v>140.12</v>
      </c>
      <c r="R29" s="662"/>
      <c r="S29" s="662"/>
      <c r="T29" s="662"/>
      <c r="U29" s="663"/>
    </row>
    <row r="30" spans="1:22" ht="20.100000000000001" customHeight="1" thickBot="1" x14ac:dyDescent="0.25">
      <c r="A30" s="124" t="s">
        <v>9</v>
      </c>
      <c r="B30" s="670">
        <v>5</v>
      </c>
      <c r="C30" s="671"/>
      <c r="D30" s="671"/>
      <c r="E30" s="671"/>
      <c r="F30" s="672"/>
      <c r="G30" s="63"/>
      <c r="H30" s="112">
        <v>23</v>
      </c>
      <c r="I30" s="112">
        <v>3.0870000000000002</v>
      </c>
      <c r="J30" s="112">
        <v>4.5650000000000004</v>
      </c>
      <c r="K30" s="106"/>
      <c r="L30" s="633"/>
      <c r="M30" s="107">
        <f>C25</f>
        <v>143</v>
      </c>
      <c r="N30" s="108" t="str">
        <f t="shared" si="7"/>
        <v>No aberrante</v>
      </c>
      <c r="O30" s="57"/>
      <c r="P30" s="285">
        <v>25</v>
      </c>
      <c r="Q30" s="286"/>
      <c r="R30" s="286"/>
      <c r="S30" s="286"/>
      <c r="T30" s="286"/>
      <c r="U30" s="287"/>
    </row>
    <row r="31" spans="1:22" ht="20.100000000000001" customHeight="1" thickBot="1" x14ac:dyDescent="0.25">
      <c r="A31" s="125">
        <v>5</v>
      </c>
      <c r="B31" s="642">
        <f>SUM(B24:B28)</f>
        <v>695</v>
      </c>
      <c r="C31" s="644">
        <f t="shared" ref="C31:F31" si="8">SUM(C24:C28)</f>
        <v>704</v>
      </c>
      <c r="D31" s="644">
        <f t="shared" si="8"/>
        <v>691</v>
      </c>
      <c r="E31" s="644">
        <f t="shared" si="8"/>
        <v>714</v>
      </c>
      <c r="F31" s="644">
        <f t="shared" si="8"/>
        <v>699</v>
      </c>
      <c r="G31" s="60"/>
      <c r="H31" s="110">
        <v>24</v>
      </c>
      <c r="I31" s="110">
        <v>3.1120000000000001</v>
      </c>
      <c r="J31" s="110">
        <v>4.7919999999999998</v>
      </c>
      <c r="K31" s="106"/>
      <c r="L31" s="633"/>
      <c r="M31" s="111">
        <f>C26</f>
        <v>141</v>
      </c>
      <c r="N31" s="108" t="str">
        <f t="shared" si="7"/>
        <v>No aberrante</v>
      </c>
      <c r="O31" s="57"/>
      <c r="P31" s="288" t="s">
        <v>159</v>
      </c>
      <c r="Q31" s="286" t="s">
        <v>44</v>
      </c>
      <c r="R31" s="286" t="s">
        <v>45</v>
      </c>
      <c r="S31" s="286" t="s">
        <v>46</v>
      </c>
      <c r="T31" s="286" t="s">
        <v>47</v>
      </c>
      <c r="U31" s="287" t="s">
        <v>48</v>
      </c>
      <c r="V31" s="17"/>
    </row>
    <row r="32" spans="1:22" ht="20.100000000000001" customHeight="1" thickBot="1" x14ac:dyDescent="0.25">
      <c r="A32" s="122" t="s">
        <v>50</v>
      </c>
      <c r="B32" s="642"/>
      <c r="C32" s="644"/>
      <c r="D32" s="644"/>
      <c r="E32" s="644"/>
      <c r="F32" s="644"/>
      <c r="G32" s="60"/>
      <c r="H32" s="112">
        <v>25</v>
      </c>
      <c r="I32" s="112">
        <v>3.1349999999999998</v>
      </c>
      <c r="J32" s="112">
        <v>5</v>
      </c>
      <c r="K32" s="113"/>
      <c r="L32" s="633"/>
      <c r="M32" s="107">
        <f>C27</f>
        <v>143</v>
      </c>
      <c r="N32" s="108" t="str">
        <f t="shared" si="7"/>
        <v>No aberrante</v>
      </c>
      <c r="O32" s="57"/>
      <c r="P32" s="289" t="s">
        <v>161</v>
      </c>
      <c r="Q32" s="677" t="s">
        <v>49</v>
      </c>
      <c r="R32" s="677"/>
      <c r="S32" s="677"/>
      <c r="T32" s="677"/>
      <c r="U32" s="678"/>
    </row>
    <row r="33" spans="1:22" ht="20.100000000000001" customHeight="1" thickBot="1" x14ac:dyDescent="0.25">
      <c r="A33" s="126" t="s">
        <v>37</v>
      </c>
      <c r="B33" s="643"/>
      <c r="C33" s="645"/>
      <c r="D33" s="645"/>
      <c r="E33" s="645"/>
      <c r="F33" s="645"/>
      <c r="G33" s="6"/>
      <c r="H33" s="114"/>
      <c r="I33" s="105"/>
      <c r="J33" s="105"/>
      <c r="K33" s="106"/>
      <c r="L33" s="634"/>
      <c r="M33" s="107">
        <f>C28</f>
        <v>137</v>
      </c>
      <c r="N33" s="108" t="str">
        <f t="shared" si="7"/>
        <v>No aberrante</v>
      </c>
      <c r="O33" s="57"/>
      <c r="P33" s="290"/>
      <c r="Q33" s="286"/>
      <c r="R33" s="286"/>
      <c r="S33" s="286"/>
      <c r="T33" s="286"/>
      <c r="U33" s="287"/>
      <c r="V33" s="18"/>
    </row>
    <row r="34" spans="1:22" ht="20.100000000000001" customHeight="1" thickBot="1" x14ac:dyDescent="0.25">
      <c r="A34" s="127">
        <v>5</v>
      </c>
      <c r="B34" s="642">
        <f>B31/$B$29</f>
        <v>139</v>
      </c>
      <c r="C34" s="644">
        <f>C31/$B$29</f>
        <v>140.80000000000001</v>
      </c>
      <c r="D34" s="644">
        <f>D31/$B$29</f>
        <v>138.19999999999999</v>
      </c>
      <c r="E34" s="644">
        <f>E31/$B$29</f>
        <v>142.80000000000001</v>
      </c>
      <c r="F34" s="646">
        <f>F31/$B$29</f>
        <v>139.80000000000001</v>
      </c>
      <c r="G34" s="6"/>
      <c r="H34" s="105"/>
      <c r="I34" s="105"/>
      <c r="J34" s="105"/>
      <c r="K34" s="106"/>
      <c r="L34" s="633">
        <v>3</v>
      </c>
      <c r="M34" s="111">
        <f>D24</f>
        <v>140</v>
      </c>
      <c r="N34" s="108" t="str">
        <f t="shared" si="7"/>
        <v>No aberrante</v>
      </c>
      <c r="O34" s="57"/>
      <c r="P34" s="613" t="s">
        <v>51</v>
      </c>
      <c r="Q34" s="607">
        <f>SUM($Q$22:$U$22)/((Q10*Q11)-1)</f>
        <v>5.2766666666666673</v>
      </c>
      <c r="R34" s="608"/>
      <c r="S34" s="608"/>
      <c r="T34" s="608"/>
      <c r="U34" s="609"/>
    </row>
    <row r="35" spans="1:22" ht="20.100000000000001" customHeight="1" thickBot="1" x14ac:dyDescent="0.25">
      <c r="A35" s="128" t="s">
        <v>145</v>
      </c>
      <c r="B35" s="642"/>
      <c r="C35" s="644"/>
      <c r="D35" s="644"/>
      <c r="E35" s="644"/>
      <c r="F35" s="642"/>
      <c r="H35" s="105"/>
      <c r="I35" s="105"/>
      <c r="J35" s="105"/>
      <c r="K35" s="106"/>
      <c r="L35" s="633"/>
      <c r="M35" s="107">
        <f>D25</f>
        <v>138</v>
      </c>
      <c r="N35" s="108" t="str">
        <f t="shared" si="7"/>
        <v>No aberrante</v>
      </c>
      <c r="O35" s="57"/>
      <c r="P35" s="614"/>
      <c r="Q35" s="610"/>
      <c r="R35" s="611"/>
      <c r="S35" s="611"/>
      <c r="T35" s="611"/>
      <c r="U35" s="612"/>
    </row>
    <row r="36" spans="1:22" ht="20.100000000000001" customHeight="1" thickBot="1" x14ac:dyDescent="0.25">
      <c r="A36" s="128" t="s">
        <v>144</v>
      </c>
      <c r="B36" s="642"/>
      <c r="C36" s="644"/>
      <c r="D36" s="644"/>
      <c r="E36" s="644"/>
      <c r="F36" s="642"/>
      <c r="H36" s="115"/>
      <c r="I36" s="115"/>
      <c r="J36" s="115"/>
      <c r="K36" s="106"/>
      <c r="L36" s="633"/>
      <c r="M36" s="111">
        <f>D26</f>
        <v>136</v>
      </c>
      <c r="N36" s="108" t="str">
        <f t="shared" si="7"/>
        <v>No aberrante</v>
      </c>
      <c r="O36" s="57"/>
      <c r="P36" s="619" t="s">
        <v>169</v>
      </c>
      <c r="Q36" s="615">
        <f>SQRT(Q34)</f>
        <v>2.2970996205360068</v>
      </c>
      <c r="R36" s="615"/>
      <c r="S36" s="615"/>
      <c r="T36" s="615"/>
      <c r="U36" s="616"/>
    </row>
    <row r="37" spans="1:22" ht="20.100000000000001" customHeight="1" thickBot="1" x14ac:dyDescent="0.25">
      <c r="A37" s="129" t="s">
        <v>218</v>
      </c>
      <c r="B37" s="643"/>
      <c r="C37" s="645"/>
      <c r="D37" s="645"/>
      <c r="E37" s="645"/>
      <c r="F37" s="643"/>
      <c r="H37" s="115"/>
      <c r="I37" s="115"/>
      <c r="J37" s="115"/>
      <c r="K37" s="106"/>
      <c r="L37" s="633"/>
      <c r="M37" s="107">
        <f>D27</f>
        <v>141</v>
      </c>
      <c r="N37" s="108" t="str">
        <f t="shared" si="7"/>
        <v>No aberrante</v>
      </c>
      <c r="O37" s="57"/>
      <c r="P37" s="620"/>
      <c r="Q37" s="617"/>
      <c r="R37" s="617"/>
      <c r="S37" s="617"/>
      <c r="T37" s="617"/>
      <c r="U37" s="618"/>
    </row>
    <row r="38" spans="1:22" ht="22.5" customHeight="1" thickBot="1" x14ac:dyDescent="0.25">
      <c r="A38" s="635" t="s">
        <v>269</v>
      </c>
      <c r="B38" s="636"/>
      <c r="C38" s="636"/>
      <c r="D38" s="636"/>
      <c r="E38" s="636"/>
      <c r="F38" s="637"/>
      <c r="H38" s="115"/>
      <c r="I38" s="115"/>
      <c r="J38" s="115"/>
      <c r="K38" s="106"/>
      <c r="L38" s="634"/>
      <c r="M38" s="116">
        <f>D28</f>
        <v>136</v>
      </c>
      <c r="N38" s="117" t="str">
        <f t="shared" si="7"/>
        <v>No aberrante</v>
      </c>
      <c r="P38" s="105"/>
      <c r="Q38" s="105"/>
      <c r="R38" s="105"/>
      <c r="S38" s="105"/>
      <c r="T38" s="105"/>
      <c r="U38" s="210"/>
    </row>
    <row r="39" spans="1:22" ht="20.100000000000001" customHeight="1" thickBot="1" x14ac:dyDescent="0.25">
      <c r="A39" s="130" t="s">
        <v>131</v>
      </c>
      <c r="B39" s="131">
        <f>B24-B34</f>
        <v>1</v>
      </c>
      <c r="C39" s="131">
        <f>C24-C34</f>
        <v>-0.80000000000001137</v>
      </c>
      <c r="D39" s="131">
        <f>D24-D34</f>
        <v>1.8000000000000114</v>
      </c>
      <c r="E39" s="131">
        <f>E24-E34</f>
        <v>-1.8000000000000114</v>
      </c>
      <c r="F39" s="132">
        <f>F24-F34</f>
        <v>-0.80000000000001137</v>
      </c>
      <c r="H39" s="118"/>
      <c r="I39" s="118"/>
      <c r="J39" s="118"/>
      <c r="K39" s="106"/>
      <c r="L39" s="633">
        <v>4</v>
      </c>
      <c r="M39" s="111">
        <f>E24</f>
        <v>141</v>
      </c>
      <c r="N39" s="119" t="str">
        <f t="shared" si="7"/>
        <v>No aberrante</v>
      </c>
      <c r="P39" s="105"/>
      <c r="Q39" s="105"/>
      <c r="R39" s="105"/>
      <c r="S39" s="105"/>
      <c r="T39" s="105"/>
      <c r="U39" s="105"/>
      <c r="V39" s="14"/>
    </row>
    <row r="40" spans="1:22" ht="20.100000000000001" customHeight="1" thickBot="1" x14ac:dyDescent="0.25">
      <c r="A40" s="130" t="s">
        <v>132</v>
      </c>
      <c r="B40" s="131">
        <f>POWER(B39,2)</f>
        <v>1</v>
      </c>
      <c r="C40" s="131">
        <f t="shared" ref="C40:F40" si="9">POWER(C39,2)</f>
        <v>0.64000000000001822</v>
      </c>
      <c r="D40" s="131">
        <f t="shared" si="9"/>
        <v>3.2400000000000411</v>
      </c>
      <c r="E40" s="131">
        <f t="shared" si="9"/>
        <v>3.2400000000000411</v>
      </c>
      <c r="F40" s="132">
        <f t="shared" si="9"/>
        <v>0.64000000000001822</v>
      </c>
      <c r="H40" s="118"/>
      <c r="I40" s="118"/>
      <c r="J40" s="118"/>
      <c r="K40" s="106"/>
      <c r="L40" s="633"/>
      <c r="M40" s="107">
        <f>E25</f>
        <v>144</v>
      </c>
      <c r="N40" s="108" t="str">
        <f t="shared" si="7"/>
        <v>No aberrante</v>
      </c>
      <c r="P40" s="105"/>
      <c r="Q40" s="105"/>
      <c r="R40" s="105"/>
      <c r="S40" s="105"/>
      <c r="T40" s="105"/>
      <c r="U40" s="105"/>
      <c r="V40" s="22"/>
    </row>
    <row r="41" spans="1:22" ht="20.100000000000001" customHeight="1" thickBot="1" x14ac:dyDescent="0.25">
      <c r="A41" s="133" t="s">
        <v>133</v>
      </c>
      <c r="B41" s="134">
        <f>B25-B34</f>
        <v>0</v>
      </c>
      <c r="C41" s="134">
        <f>C25-C34</f>
        <v>2.1999999999999886</v>
      </c>
      <c r="D41" s="134">
        <f>D25-D34</f>
        <v>-0.19999999999998863</v>
      </c>
      <c r="E41" s="134">
        <f>E25-E34</f>
        <v>1.1999999999999886</v>
      </c>
      <c r="F41" s="135">
        <f>F25-F34</f>
        <v>0.19999999999998863</v>
      </c>
      <c r="H41" s="118"/>
      <c r="I41" s="118"/>
      <c r="J41" s="118"/>
      <c r="K41" s="106"/>
      <c r="L41" s="633"/>
      <c r="M41" s="107">
        <f>E26</f>
        <v>142</v>
      </c>
      <c r="N41" s="108" t="str">
        <f t="shared" si="7"/>
        <v>No aberrante</v>
      </c>
      <c r="P41" s="105"/>
      <c r="Q41" s="105"/>
      <c r="R41" s="105"/>
      <c r="S41" s="105"/>
      <c r="T41" s="105"/>
      <c r="U41" s="105"/>
    </row>
    <row r="42" spans="1:22" ht="20.100000000000001" customHeight="1" thickBot="1" x14ac:dyDescent="0.25">
      <c r="A42" s="130" t="s">
        <v>134</v>
      </c>
      <c r="B42" s="131">
        <f>POWER(B41,2)</f>
        <v>0</v>
      </c>
      <c r="C42" s="131">
        <f t="shared" ref="C42:F42" si="10">POWER(C41,2)</f>
        <v>4.8399999999999501</v>
      </c>
      <c r="D42" s="131">
        <f t="shared" si="10"/>
        <v>3.9999999999995456E-2</v>
      </c>
      <c r="E42" s="131">
        <f t="shared" si="10"/>
        <v>1.4399999999999726</v>
      </c>
      <c r="F42" s="132">
        <f t="shared" si="10"/>
        <v>3.9999999999995456E-2</v>
      </c>
      <c r="H42" s="118"/>
      <c r="I42" s="118"/>
      <c r="J42" s="118"/>
      <c r="K42" s="106"/>
      <c r="L42" s="633"/>
      <c r="M42" s="111">
        <f>E27</f>
        <v>143</v>
      </c>
      <c r="N42" s="108" t="str">
        <f t="shared" si="7"/>
        <v>No aberrante</v>
      </c>
      <c r="P42" s="105"/>
      <c r="Q42" s="105"/>
      <c r="R42" s="105"/>
      <c r="S42" s="105"/>
      <c r="T42" s="105"/>
      <c r="U42" s="105"/>
      <c r="V42" s="10"/>
    </row>
    <row r="43" spans="1:22" ht="20.100000000000001" customHeight="1" x14ac:dyDescent="0.2">
      <c r="A43" s="133" t="s">
        <v>135</v>
      </c>
      <c r="B43" s="134">
        <f>B26-B34</f>
        <v>-1</v>
      </c>
      <c r="C43" s="134">
        <f>C26-C34</f>
        <v>0.19999999999998863</v>
      </c>
      <c r="D43" s="134">
        <f>D26-D34</f>
        <v>-2.1999999999999886</v>
      </c>
      <c r="E43" s="134">
        <f>E26-E34</f>
        <v>-0.80000000000001137</v>
      </c>
      <c r="F43" s="135">
        <f>F26-F34</f>
        <v>1.1999999999999886</v>
      </c>
      <c r="H43" s="118"/>
      <c r="I43" s="118"/>
      <c r="J43" s="118"/>
      <c r="K43" s="106"/>
      <c r="L43" s="634"/>
      <c r="M43" s="107">
        <f>E28</f>
        <v>144</v>
      </c>
      <c r="N43" s="117" t="str">
        <f t="shared" si="7"/>
        <v>No aberrante</v>
      </c>
      <c r="P43" s="105"/>
      <c r="Q43" s="105"/>
      <c r="R43" s="105"/>
      <c r="S43" s="105"/>
      <c r="T43" s="105"/>
      <c r="U43" s="105"/>
      <c r="V43" s="10"/>
    </row>
    <row r="44" spans="1:22" ht="20.100000000000001" customHeight="1" thickBot="1" x14ac:dyDescent="0.25">
      <c r="A44" s="130" t="s">
        <v>136</v>
      </c>
      <c r="B44" s="131">
        <f>POWER(B43,2)</f>
        <v>1</v>
      </c>
      <c r="C44" s="131">
        <f t="shared" ref="C44:F44" si="11">POWER(C43,2)</f>
        <v>3.9999999999995456E-2</v>
      </c>
      <c r="D44" s="131">
        <f t="shared" si="11"/>
        <v>4.8399999999999501</v>
      </c>
      <c r="E44" s="131">
        <f t="shared" si="11"/>
        <v>0.64000000000001822</v>
      </c>
      <c r="F44" s="132">
        <f t="shared" si="11"/>
        <v>1.4399999999999726</v>
      </c>
      <c r="H44" s="118"/>
      <c r="I44" s="118"/>
      <c r="J44" s="118"/>
      <c r="K44" s="106"/>
      <c r="L44" s="633">
        <v>5</v>
      </c>
      <c r="M44" s="116">
        <f>F24</f>
        <v>139</v>
      </c>
      <c r="N44" s="119" t="str">
        <f t="shared" si="7"/>
        <v>No aberrante</v>
      </c>
      <c r="P44" s="105"/>
      <c r="Q44" s="105"/>
      <c r="R44" s="105"/>
      <c r="S44" s="105"/>
      <c r="T44" s="105"/>
      <c r="U44" s="105"/>
      <c r="V44" s="10"/>
    </row>
    <row r="45" spans="1:22" ht="20.100000000000001" customHeight="1" thickBot="1" x14ac:dyDescent="0.25">
      <c r="A45" s="133" t="s">
        <v>137</v>
      </c>
      <c r="B45" s="134">
        <f>B27-B34</f>
        <v>-1</v>
      </c>
      <c r="C45" s="134">
        <f>C27-C34</f>
        <v>2.1999999999999886</v>
      </c>
      <c r="D45" s="134">
        <f>D27-D34</f>
        <v>2.8000000000000114</v>
      </c>
      <c r="E45" s="134">
        <f>E27-E34</f>
        <v>0.19999999999998863</v>
      </c>
      <c r="F45" s="135">
        <f>F27-F34</f>
        <v>-1.8000000000000114</v>
      </c>
      <c r="H45" s="118"/>
      <c r="I45" s="118"/>
      <c r="J45" s="118"/>
      <c r="K45" s="106"/>
      <c r="L45" s="633"/>
      <c r="M45" s="107">
        <f>F25</f>
        <v>140</v>
      </c>
      <c r="N45" s="108" t="str">
        <f t="shared" si="7"/>
        <v>No aberrante</v>
      </c>
      <c r="P45" s="105"/>
      <c r="Q45" s="105"/>
      <c r="R45" s="105"/>
      <c r="S45" s="105"/>
      <c r="T45" s="105"/>
      <c r="U45" s="105"/>
    </row>
    <row r="46" spans="1:22" ht="20.100000000000001" customHeight="1" thickBot="1" x14ac:dyDescent="0.25">
      <c r="A46" s="130" t="s">
        <v>138</v>
      </c>
      <c r="B46" s="131">
        <f>POWER(B45,2)</f>
        <v>1</v>
      </c>
      <c r="C46" s="131">
        <f t="shared" ref="C46:F46" si="12">POWER(C45,2)</f>
        <v>4.8399999999999501</v>
      </c>
      <c r="D46" s="131">
        <f t="shared" si="12"/>
        <v>7.8400000000000638</v>
      </c>
      <c r="E46" s="131">
        <f t="shared" si="12"/>
        <v>3.9999999999995456E-2</v>
      </c>
      <c r="F46" s="132">
        <f t="shared" si="12"/>
        <v>3.2400000000000411</v>
      </c>
      <c r="H46" s="118"/>
      <c r="I46" s="118"/>
      <c r="J46" s="118"/>
      <c r="K46" s="106"/>
      <c r="L46" s="633"/>
      <c r="M46" s="107">
        <f>F26</f>
        <v>141</v>
      </c>
      <c r="N46" s="108" t="str">
        <f t="shared" si="7"/>
        <v>No aberrante</v>
      </c>
      <c r="P46" s="105"/>
      <c r="Q46" s="105"/>
      <c r="R46" s="105"/>
      <c r="S46" s="105"/>
      <c r="T46" s="105"/>
      <c r="U46" s="105"/>
    </row>
    <row r="47" spans="1:22" ht="20.100000000000001" customHeight="1" thickBot="1" x14ac:dyDescent="0.25">
      <c r="A47" s="133" t="s">
        <v>139</v>
      </c>
      <c r="B47" s="134">
        <f>B28-B34</f>
        <v>1</v>
      </c>
      <c r="C47" s="134">
        <f>C28-C34</f>
        <v>-3.8000000000000114</v>
      </c>
      <c r="D47" s="134">
        <f>D28-D34</f>
        <v>-2.1999999999999886</v>
      </c>
      <c r="E47" s="134">
        <f>E28-E34</f>
        <v>1.1999999999999886</v>
      </c>
      <c r="F47" s="135">
        <f>F28-F34</f>
        <v>1.1999999999999886</v>
      </c>
      <c r="H47" s="118"/>
      <c r="I47" s="118"/>
      <c r="J47" s="118"/>
      <c r="K47" s="106"/>
      <c r="L47" s="633"/>
      <c r="M47" s="116">
        <f>F27</f>
        <v>138</v>
      </c>
      <c r="N47" s="108" t="str">
        <f t="shared" si="7"/>
        <v>No aberrante</v>
      </c>
      <c r="P47" s="105"/>
      <c r="Q47" s="105"/>
      <c r="R47" s="105"/>
      <c r="S47" s="105"/>
      <c r="T47" s="105"/>
      <c r="U47" s="105"/>
    </row>
    <row r="48" spans="1:22" ht="20.100000000000001" customHeight="1" x14ac:dyDescent="0.2">
      <c r="A48" s="130" t="s">
        <v>140</v>
      </c>
      <c r="B48" s="131">
        <f>POWER(B47,2)</f>
        <v>1</v>
      </c>
      <c r="C48" s="131">
        <f t="shared" ref="C48:F48" si="13">POWER(C47,2)</f>
        <v>14.440000000000087</v>
      </c>
      <c r="D48" s="131">
        <f t="shared" si="13"/>
        <v>4.8399999999999501</v>
      </c>
      <c r="E48" s="131">
        <f t="shared" si="13"/>
        <v>1.4399999999999726</v>
      </c>
      <c r="F48" s="132">
        <f t="shared" si="13"/>
        <v>1.4399999999999726</v>
      </c>
      <c r="H48" s="118"/>
      <c r="I48" s="118"/>
      <c r="J48" s="118"/>
      <c r="K48" s="106"/>
      <c r="L48" s="634"/>
      <c r="M48" s="116">
        <f>F28</f>
        <v>141</v>
      </c>
      <c r="N48" s="117" t="str">
        <f t="shared" si="7"/>
        <v>No aberrante</v>
      </c>
      <c r="P48" s="105"/>
      <c r="Q48" s="105"/>
      <c r="R48" s="105"/>
      <c r="S48" s="105"/>
      <c r="T48" s="105"/>
      <c r="U48" s="105"/>
    </row>
    <row r="49" spans="1:23" ht="23.25" customHeight="1" x14ac:dyDescent="0.2">
      <c r="A49" s="136">
        <v>5</v>
      </c>
      <c r="B49" s="754">
        <f>SUM(B40,B42,B44,B46,B48)</f>
        <v>4</v>
      </c>
      <c r="C49" s="659">
        <f>SUM(C40,C42,C44,C46,C48)</f>
        <v>24.8</v>
      </c>
      <c r="D49" s="659">
        <f>SUM(D40,D42,D44,D46,D48)</f>
        <v>20.8</v>
      </c>
      <c r="E49" s="755">
        <f>SUM(E40,E42,E44,E46,E48)</f>
        <v>6.8000000000000007</v>
      </c>
      <c r="F49" s="757">
        <f>SUM(F40,F42,F44,F46,F48)</f>
        <v>6.8000000000000007</v>
      </c>
      <c r="G49" s="142" t="s">
        <v>246</v>
      </c>
      <c r="H49" s="74"/>
      <c r="I49" s="74"/>
      <c r="J49" s="74"/>
      <c r="K49" s="74"/>
      <c r="L49" s="74"/>
      <c r="M49" s="9"/>
      <c r="N49" s="9"/>
      <c r="P49" s="105"/>
      <c r="Q49" s="105"/>
      <c r="R49" s="105"/>
      <c r="S49" s="105"/>
      <c r="T49" s="105"/>
      <c r="U49" s="105"/>
    </row>
    <row r="50" spans="1:23" ht="18.75" customHeight="1" x14ac:dyDescent="0.2">
      <c r="A50" s="137" t="s">
        <v>36</v>
      </c>
      <c r="B50" s="755"/>
      <c r="C50" s="659"/>
      <c r="D50" s="659"/>
      <c r="E50" s="755"/>
      <c r="F50" s="752"/>
      <c r="G50" s="657">
        <f>SUM(B49:F51)</f>
        <v>63.2</v>
      </c>
      <c r="H50" s="75"/>
      <c r="I50" s="74"/>
      <c r="J50" s="74"/>
      <c r="K50" s="74"/>
      <c r="L50" s="74"/>
      <c r="M50" s="8"/>
      <c r="N50" s="8"/>
      <c r="P50" s="588" t="s">
        <v>274</v>
      </c>
      <c r="Q50" s="589"/>
      <c r="R50" s="589"/>
      <c r="S50" s="589"/>
      <c r="T50" s="589"/>
      <c r="U50" s="590"/>
      <c r="W50" s="10"/>
    </row>
    <row r="51" spans="1:23" ht="16.5" customHeight="1" thickBot="1" x14ac:dyDescent="0.25">
      <c r="A51" s="138" t="s">
        <v>37</v>
      </c>
      <c r="B51" s="756"/>
      <c r="C51" s="660"/>
      <c r="D51" s="660"/>
      <c r="E51" s="756"/>
      <c r="F51" s="753"/>
      <c r="G51" s="658"/>
      <c r="H51" s="75"/>
      <c r="I51" s="74"/>
      <c r="J51" s="74"/>
      <c r="K51" s="74"/>
      <c r="L51" s="74"/>
      <c r="M51" s="8"/>
      <c r="N51" s="8"/>
      <c r="P51" s="591"/>
      <c r="Q51" s="592"/>
      <c r="R51" s="592"/>
      <c r="S51" s="592"/>
      <c r="T51" s="592"/>
      <c r="U51" s="593"/>
    </row>
    <row r="52" spans="1:23" ht="19.5" customHeight="1" x14ac:dyDescent="0.2">
      <c r="A52" s="139">
        <v>5</v>
      </c>
      <c r="B52" s="659">
        <f>B49/($B$29-1)</f>
        <v>1</v>
      </c>
      <c r="C52" s="659">
        <f>C49/($B$29-1)</f>
        <v>6.2</v>
      </c>
      <c r="D52" s="659">
        <f>D49/($B$29-1)</f>
        <v>5.2</v>
      </c>
      <c r="E52" s="755">
        <f>E49/($B$29-1)</f>
        <v>1.7000000000000002</v>
      </c>
      <c r="F52" s="752">
        <f>F49/($B$29-1)</f>
        <v>1.7000000000000002</v>
      </c>
      <c r="H52" s="75"/>
      <c r="I52" s="74"/>
      <c r="J52" s="74"/>
      <c r="K52" s="74"/>
      <c r="L52" s="74"/>
      <c r="M52" s="8"/>
      <c r="N52" s="8"/>
      <c r="P52" s="292" t="s">
        <v>9</v>
      </c>
      <c r="Q52" s="293">
        <v>5</v>
      </c>
      <c r="R52" s="621" t="s">
        <v>268</v>
      </c>
      <c r="S52" s="621"/>
      <c r="T52" s="621"/>
      <c r="U52" s="622"/>
    </row>
    <row r="53" spans="1:23" ht="22.5" customHeight="1" x14ac:dyDescent="0.2">
      <c r="A53" s="140" t="s">
        <v>129</v>
      </c>
      <c r="B53" s="659"/>
      <c r="C53" s="659"/>
      <c r="D53" s="659"/>
      <c r="E53" s="755"/>
      <c r="F53" s="752"/>
      <c r="H53" s="75"/>
      <c r="I53" s="74"/>
      <c r="J53" s="74"/>
      <c r="K53" s="74"/>
      <c r="L53" s="74"/>
      <c r="M53" s="11"/>
      <c r="N53" s="11"/>
      <c r="P53" s="294" t="s">
        <v>234</v>
      </c>
      <c r="Q53" s="295">
        <v>5</v>
      </c>
      <c r="R53" s="623"/>
      <c r="S53" s="623"/>
      <c r="T53" s="623"/>
      <c r="U53" s="624"/>
    </row>
    <row r="54" spans="1:23" ht="20.25" x14ac:dyDescent="0.25">
      <c r="A54" s="140" t="s">
        <v>130</v>
      </c>
      <c r="B54" s="659"/>
      <c r="C54" s="659"/>
      <c r="D54" s="659"/>
      <c r="E54" s="755"/>
      <c r="F54" s="752"/>
      <c r="H54" s="75"/>
      <c r="I54" s="74"/>
      <c r="J54" s="74"/>
      <c r="K54" s="74"/>
      <c r="L54" s="74"/>
      <c r="M54" s="11"/>
      <c r="N54" s="11"/>
      <c r="P54" s="296" t="s">
        <v>248</v>
      </c>
      <c r="Q54" s="297">
        <f>B34-$Q$71</f>
        <v>-1.1200000000000045</v>
      </c>
      <c r="R54" s="598">
        <f>Q55*$Q$53</f>
        <v>6.2720000000000509</v>
      </c>
      <c r="S54" s="625">
        <v>5</v>
      </c>
      <c r="T54" s="625"/>
      <c r="U54" s="626"/>
    </row>
    <row r="55" spans="1:23" ht="18" customHeight="1" x14ac:dyDescent="0.25">
      <c r="A55" s="141" t="s">
        <v>52</v>
      </c>
      <c r="B55" s="660"/>
      <c r="C55" s="660"/>
      <c r="D55" s="660"/>
      <c r="E55" s="756"/>
      <c r="F55" s="753"/>
      <c r="H55" s="75"/>
      <c r="I55" s="74"/>
      <c r="J55" s="74"/>
      <c r="K55" s="74"/>
      <c r="L55" s="74"/>
      <c r="M55" s="4"/>
      <c r="N55" s="4"/>
      <c r="P55" s="298" t="s">
        <v>249</v>
      </c>
      <c r="Q55" s="299">
        <f>POWER(Q54,2)</f>
        <v>1.2544000000000102</v>
      </c>
      <c r="R55" s="599"/>
      <c r="S55" s="627" t="s">
        <v>243</v>
      </c>
      <c r="T55" s="625"/>
      <c r="U55" s="626"/>
    </row>
    <row r="56" spans="1:23" ht="30" customHeight="1" x14ac:dyDescent="0.2">
      <c r="A56" s="647" t="s">
        <v>178</v>
      </c>
      <c r="B56" s="648" t="s">
        <v>172</v>
      </c>
      <c r="C56" s="648"/>
      <c r="D56" s="648"/>
      <c r="E56" s="648"/>
      <c r="F56" s="649"/>
      <c r="G56" s="12"/>
      <c r="H56" s="76"/>
      <c r="I56" s="650"/>
      <c r="J56" s="650"/>
      <c r="K56" s="650"/>
      <c r="L56" s="650"/>
      <c r="M56" s="650"/>
      <c r="N56" s="77"/>
      <c r="O56" s="4"/>
      <c r="P56" s="296" t="s">
        <v>250</v>
      </c>
      <c r="Q56" s="297">
        <f>C34-$Q$71</f>
        <v>0.68000000000000682</v>
      </c>
      <c r="R56" s="598">
        <f>Q57*$Q$53</f>
        <v>2.3120000000000465</v>
      </c>
      <c r="S56" s="628" t="s">
        <v>242</v>
      </c>
      <c r="T56" s="628"/>
      <c r="U56" s="629"/>
    </row>
    <row r="57" spans="1:23" ht="30" customHeight="1" x14ac:dyDescent="0.2">
      <c r="A57" s="647"/>
      <c r="B57" s="651" t="s">
        <v>38</v>
      </c>
      <c r="C57" s="652"/>
      <c r="D57" s="652"/>
      <c r="E57" s="652"/>
      <c r="F57" s="653"/>
      <c r="G57" s="12"/>
      <c r="H57" s="76"/>
      <c r="I57" s="650"/>
      <c r="J57" s="650"/>
      <c r="K57" s="650"/>
      <c r="L57" s="650"/>
      <c r="M57" s="650"/>
      <c r="N57" s="77"/>
      <c r="O57" s="4"/>
      <c r="P57" s="300" t="s">
        <v>251</v>
      </c>
      <c r="Q57" s="301">
        <f>POWER(Q56,2)</f>
        <v>0.4624000000000093</v>
      </c>
      <c r="R57" s="600"/>
      <c r="S57" s="561" t="s">
        <v>241</v>
      </c>
      <c r="T57" s="561"/>
      <c r="U57" s="562"/>
    </row>
    <row r="58" spans="1:23" ht="57.75" customHeight="1" thickBot="1" x14ac:dyDescent="0.25">
      <c r="A58" s="143" t="s">
        <v>179</v>
      </c>
      <c r="B58" s="654">
        <f>(B34+C34+D34+E34+F34)/B30</f>
        <v>140.11999999999998</v>
      </c>
      <c r="C58" s="654"/>
      <c r="D58" s="654"/>
      <c r="E58" s="654"/>
      <c r="F58" s="655"/>
      <c r="G58" s="144"/>
      <c r="H58" s="145"/>
      <c r="I58" s="656"/>
      <c r="J58" s="656"/>
      <c r="K58" s="656"/>
      <c r="L58" s="656"/>
      <c r="M58" s="656"/>
      <c r="N58" s="77"/>
      <c r="O58" s="4"/>
      <c r="P58" s="300" t="s">
        <v>252</v>
      </c>
      <c r="Q58" s="302">
        <f>D34-$Q$71</f>
        <v>-1.9200000000000159</v>
      </c>
      <c r="R58" s="599">
        <f>Q59*$Q$53</f>
        <v>18.432000000000308</v>
      </c>
      <c r="S58" s="105"/>
      <c r="T58" s="105"/>
      <c r="U58" s="211"/>
    </row>
    <row r="59" spans="1:23" ht="30" customHeight="1" x14ac:dyDescent="0.2">
      <c r="A59" s="758" t="s">
        <v>262</v>
      </c>
      <c r="B59" s="146" t="s">
        <v>173</v>
      </c>
      <c r="C59" s="146" t="s">
        <v>174</v>
      </c>
      <c r="D59" s="146" t="s">
        <v>175</v>
      </c>
      <c r="E59" s="146" t="s">
        <v>176</v>
      </c>
      <c r="F59" s="147" t="s">
        <v>177</v>
      </c>
      <c r="G59" s="144"/>
      <c r="H59" s="145"/>
      <c r="I59" s="148"/>
      <c r="J59" s="148"/>
      <c r="K59" s="149"/>
      <c r="L59" s="148"/>
      <c r="M59" s="148"/>
      <c r="N59" s="77"/>
      <c r="O59" s="4"/>
      <c r="P59" s="300" t="s">
        <v>253</v>
      </c>
      <c r="Q59" s="299">
        <f>POWER(Q58,2)</f>
        <v>3.6864000000000612</v>
      </c>
      <c r="R59" s="599"/>
      <c r="S59" s="105"/>
      <c r="T59" s="105"/>
      <c r="U59" s="210"/>
    </row>
    <row r="60" spans="1:23" ht="30" customHeight="1" x14ac:dyDescent="0.2">
      <c r="A60" s="759"/>
      <c r="B60" s="648" t="s">
        <v>38</v>
      </c>
      <c r="C60" s="648"/>
      <c r="D60" s="648"/>
      <c r="E60" s="648"/>
      <c r="F60" s="649"/>
      <c r="G60" s="144"/>
      <c r="H60" s="145"/>
      <c r="I60" s="760"/>
      <c r="J60" s="760"/>
      <c r="K60" s="760"/>
      <c r="L60" s="760"/>
      <c r="M60" s="760"/>
      <c r="N60" s="78"/>
      <c r="O60" s="4"/>
      <c r="P60" s="303" t="s">
        <v>254</v>
      </c>
      <c r="Q60" s="304">
        <f>E34-$Q$71</f>
        <v>2.6800000000000068</v>
      </c>
      <c r="R60" s="598">
        <f>Q61*$Q$53</f>
        <v>35.912000000000184</v>
      </c>
      <c r="S60" s="305"/>
      <c r="T60" s="305"/>
      <c r="U60" s="306"/>
    </row>
    <row r="61" spans="1:23" ht="55.5" customHeight="1" thickBot="1" x14ac:dyDescent="0.25">
      <c r="A61" s="150" t="s">
        <v>180</v>
      </c>
      <c r="B61" s="729">
        <f>SUM(B52:F52)/B30</f>
        <v>3.16</v>
      </c>
      <c r="C61" s="729"/>
      <c r="D61" s="729"/>
      <c r="E61" s="729"/>
      <c r="F61" s="730"/>
      <c r="G61" s="144"/>
      <c r="H61" s="151"/>
      <c r="I61" s="105"/>
      <c r="J61" s="105"/>
      <c r="K61" s="115"/>
      <c r="L61" s="105"/>
      <c r="M61" s="105"/>
      <c r="P61" s="303" t="s">
        <v>255</v>
      </c>
      <c r="Q61" s="307">
        <f>POWER(Q60,2)</f>
        <v>7.1824000000000368</v>
      </c>
      <c r="R61" s="600"/>
      <c r="S61" s="166"/>
      <c r="T61" s="166"/>
      <c r="U61" s="114"/>
    </row>
    <row r="62" spans="1:23" ht="15" customHeight="1" thickBot="1" x14ac:dyDescent="0.25">
      <c r="A62" s="731" t="s">
        <v>181</v>
      </c>
      <c r="B62" s="734" t="s">
        <v>266</v>
      </c>
      <c r="C62" s="735"/>
      <c r="D62" s="735"/>
      <c r="E62" s="735"/>
      <c r="F62" s="736"/>
      <c r="G62" s="740" t="s">
        <v>53</v>
      </c>
      <c r="H62" s="740"/>
      <c r="I62" s="741"/>
      <c r="J62" s="742"/>
      <c r="K62" s="152"/>
      <c r="L62" s="105"/>
      <c r="M62" s="105"/>
      <c r="P62" s="303" t="s">
        <v>256</v>
      </c>
      <c r="Q62" s="304">
        <f>F34-$Q$29</f>
        <v>-0.31999999999999318</v>
      </c>
      <c r="R62" s="601">
        <f>Q63*$Q$53</f>
        <v>0.51199999999997814</v>
      </c>
      <c r="S62" s="166"/>
      <c r="T62" s="166"/>
      <c r="U62" s="308"/>
    </row>
    <row r="63" spans="1:23" ht="18.75" customHeight="1" x14ac:dyDescent="0.2">
      <c r="A63" s="732"/>
      <c r="B63" s="737"/>
      <c r="C63" s="738"/>
      <c r="D63" s="738"/>
      <c r="E63" s="738"/>
      <c r="F63" s="739"/>
      <c r="G63" s="745" t="s">
        <v>54</v>
      </c>
      <c r="H63" s="745"/>
      <c r="I63" s="746"/>
      <c r="J63" s="743"/>
      <c r="K63" s="106"/>
      <c r="L63" s="105"/>
      <c r="M63" s="105"/>
      <c r="P63" s="309" t="s">
        <v>257</v>
      </c>
      <c r="Q63" s="307">
        <f>POWER(Q62,2)</f>
        <v>0.10239999999999563</v>
      </c>
      <c r="R63" s="601"/>
      <c r="S63" s="166"/>
      <c r="T63" s="166"/>
      <c r="U63" s="308"/>
    </row>
    <row r="64" spans="1:23" ht="20.25" customHeight="1" x14ac:dyDescent="0.2">
      <c r="A64" s="732"/>
      <c r="B64" s="747">
        <f>SQRT(B61)</f>
        <v>1.7776388834631178</v>
      </c>
      <c r="C64" s="748"/>
      <c r="D64" s="748"/>
      <c r="E64" s="748"/>
      <c r="F64" s="749"/>
      <c r="G64" s="745" t="s">
        <v>194</v>
      </c>
      <c r="H64" s="745"/>
      <c r="I64" s="746"/>
      <c r="J64" s="743"/>
      <c r="K64" s="106"/>
      <c r="L64" s="105"/>
      <c r="M64" s="105"/>
      <c r="P64" s="310">
        <v>5</v>
      </c>
      <c r="Q64" s="602">
        <f>SUM(Q55,Q57,Q59,Q61,Q63)</f>
        <v>12.688000000000113</v>
      </c>
      <c r="R64" s="572">
        <f>SUM(R54:R63)</f>
        <v>63.440000000000566</v>
      </c>
      <c r="S64" s="569" t="s">
        <v>245</v>
      </c>
      <c r="T64" s="563" t="s">
        <v>235</v>
      </c>
      <c r="U64" s="564"/>
      <c r="V64" s="61"/>
    </row>
    <row r="65" spans="1:22" ht="18.75" customHeight="1" thickBot="1" x14ac:dyDescent="0.25">
      <c r="A65" s="733"/>
      <c r="B65" s="750"/>
      <c r="C65" s="654"/>
      <c r="D65" s="654"/>
      <c r="E65" s="654"/>
      <c r="F65" s="751"/>
      <c r="G65" s="763" t="s">
        <v>195</v>
      </c>
      <c r="H65" s="763"/>
      <c r="I65" s="764"/>
      <c r="J65" s="744"/>
      <c r="K65" s="153"/>
      <c r="L65" s="105"/>
      <c r="M65" s="105"/>
      <c r="P65" s="311" t="s">
        <v>247</v>
      </c>
      <c r="Q65" s="603"/>
      <c r="R65" s="573"/>
      <c r="S65" s="570"/>
      <c r="T65" s="565"/>
      <c r="U65" s="566"/>
      <c r="V65" s="59"/>
    </row>
    <row r="66" spans="1:22" ht="44.25" customHeight="1" x14ac:dyDescent="0.2">
      <c r="A66" s="154" t="s">
        <v>237</v>
      </c>
      <c r="B66" s="748">
        <f>(B64/B58)*100</f>
        <v>1.2686546413524966</v>
      </c>
      <c r="C66" s="748"/>
      <c r="D66" s="748"/>
      <c r="E66" s="748"/>
      <c r="F66" s="749"/>
      <c r="G66" s="105"/>
      <c r="H66" s="105"/>
      <c r="I66" s="105"/>
      <c r="J66" s="105"/>
      <c r="K66" s="115"/>
      <c r="L66" s="105"/>
      <c r="M66" s="105"/>
      <c r="P66" s="312" t="s">
        <v>37</v>
      </c>
      <c r="Q66" s="604"/>
      <c r="R66" s="574"/>
      <c r="S66" s="571"/>
      <c r="T66" s="567"/>
      <c r="U66" s="568"/>
      <c r="V66" s="62"/>
    </row>
    <row r="67" spans="1:22" ht="22.5" customHeight="1" x14ac:dyDescent="0.2">
      <c r="A67" s="155" t="s">
        <v>182</v>
      </c>
      <c r="B67" s="654"/>
      <c r="C67" s="654"/>
      <c r="D67" s="654"/>
      <c r="E67" s="654"/>
      <c r="F67" s="751"/>
      <c r="G67" s="105"/>
      <c r="H67" s="105"/>
      <c r="I67" s="105"/>
      <c r="J67" s="105"/>
      <c r="K67" s="115"/>
      <c r="L67" s="105"/>
      <c r="M67" s="105"/>
      <c r="P67" s="594" t="s">
        <v>156</v>
      </c>
      <c r="Q67" s="575">
        <v>25</v>
      </c>
      <c r="R67" s="575"/>
      <c r="S67" s="575"/>
      <c r="T67" s="575"/>
      <c r="U67" s="576"/>
    </row>
    <row r="68" spans="1:22" ht="53.25" customHeight="1" x14ac:dyDescent="0.2">
      <c r="A68" s="156" t="s">
        <v>263</v>
      </c>
      <c r="B68" s="765">
        <f>(D92-D93)/B29</f>
        <v>2.5400000000000285</v>
      </c>
      <c r="C68" s="766"/>
      <c r="D68" s="766"/>
      <c r="E68" s="766"/>
      <c r="F68" s="767"/>
      <c r="G68" s="157"/>
      <c r="H68" s="105"/>
      <c r="I68" s="105"/>
      <c r="J68" s="105"/>
      <c r="K68" s="115"/>
      <c r="L68" s="105"/>
      <c r="M68" s="105"/>
      <c r="P68" s="595"/>
      <c r="Q68" s="932" t="s">
        <v>261</v>
      </c>
      <c r="R68" s="932"/>
      <c r="S68" s="932"/>
      <c r="T68" s="932"/>
      <c r="U68" s="933"/>
    </row>
    <row r="69" spans="1:22" ht="21" customHeight="1" x14ac:dyDescent="0.2">
      <c r="A69" s="768" t="s">
        <v>183</v>
      </c>
      <c r="B69" s="771" t="s">
        <v>265</v>
      </c>
      <c r="C69" s="772"/>
      <c r="D69" s="772"/>
      <c r="E69" s="772"/>
      <c r="F69" s="773"/>
      <c r="G69" s="105"/>
      <c r="H69" s="105"/>
      <c r="I69" s="105"/>
      <c r="J69" s="105"/>
      <c r="K69" s="115"/>
      <c r="L69" s="105"/>
      <c r="M69" s="105"/>
      <c r="O69" s="59"/>
      <c r="P69" s="596"/>
      <c r="Q69" s="934" t="s">
        <v>158</v>
      </c>
      <c r="R69" s="934"/>
      <c r="S69" s="934"/>
      <c r="T69" s="934"/>
      <c r="U69" s="935"/>
    </row>
    <row r="70" spans="1:22" ht="21" customHeight="1" x14ac:dyDescent="0.2">
      <c r="A70" s="769"/>
      <c r="B70" s="772"/>
      <c r="C70" s="772"/>
      <c r="D70" s="772"/>
      <c r="E70" s="772"/>
      <c r="F70" s="773"/>
      <c r="G70" s="105"/>
      <c r="H70" s="105"/>
      <c r="I70" s="105"/>
      <c r="J70" s="105"/>
      <c r="K70" s="115"/>
      <c r="L70" s="105"/>
      <c r="M70" s="105"/>
      <c r="O70" s="59"/>
      <c r="P70" s="597"/>
      <c r="Q70" s="936">
        <v>25</v>
      </c>
      <c r="R70" s="936"/>
      <c r="S70" s="936"/>
      <c r="T70" s="936"/>
      <c r="U70" s="937"/>
    </row>
    <row r="71" spans="1:22" ht="21" customHeight="1" x14ac:dyDescent="0.2">
      <c r="A71" s="769"/>
      <c r="B71" s="774">
        <f>SQRT(B68)</f>
        <v>1.5937377450509316</v>
      </c>
      <c r="C71" s="774"/>
      <c r="D71" s="774"/>
      <c r="E71" s="774"/>
      <c r="F71" s="775"/>
      <c r="G71" s="105"/>
      <c r="H71" s="105"/>
      <c r="I71" s="105"/>
      <c r="J71" s="105"/>
      <c r="K71" s="115"/>
      <c r="L71" s="105"/>
      <c r="M71" s="105"/>
      <c r="O71" s="59"/>
      <c r="P71" s="284" t="s">
        <v>39</v>
      </c>
      <c r="Q71" s="580">
        <f>(AVERAGE(Q5:U9))</f>
        <v>140.12</v>
      </c>
      <c r="R71" s="580"/>
      <c r="S71" s="580"/>
      <c r="T71" s="580"/>
      <c r="U71" s="581"/>
    </row>
    <row r="72" spans="1:22" ht="21" customHeight="1" x14ac:dyDescent="0.2">
      <c r="A72" s="770"/>
      <c r="B72" s="776"/>
      <c r="C72" s="776"/>
      <c r="D72" s="776"/>
      <c r="E72" s="776"/>
      <c r="F72" s="777"/>
      <c r="G72" s="105"/>
      <c r="H72" s="105"/>
      <c r="I72" s="105"/>
      <c r="J72" s="105"/>
      <c r="K72" s="115"/>
      <c r="L72" s="105"/>
      <c r="M72" s="105"/>
      <c r="O72" s="59"/>
      <c r="P72" s="313">
        <v>5</v>
      </c>
      <c r="Q72" s="314"/>
      <c r="R72" s="314"/>
      <c r="S72" s="314"/>
      <c r="T72" s="314"/>
      <c r="U72" s="315"/>
    </row>
    <row r="73" spans="1:22" ht="57.75" customHeight="1" x14ac:dyDescent="0.2">
      <c r="A73" s="158" t="s">
        <v>236</v>
      </c>
      <c r="B73" s="774">
        <f>(B71/B58)*100</f>
        <v>1.137409181452278</v>
      </c>
      <c r="C73" s="774"/>
      <c r="D73" s="774"/>
      <c r="E73" s="774"/>
      <c r="F73" s="784"/>
      <c r="G73" s="105"/>
      <c r="H73" s="105"/>
      <c r="I73" s="105"/>
      <c r="J73" s="105"/>
      <c r="K73" s="115"/>
      <c r="L73" s="105"/>
      <c r="M73" s="105"/>
      <c r="O73" s="59"/>
      <c r="P73" s="313" t="s">
        <v>259</v>
      </c>
      <c r="Q73" s="946" t="s">
        <v>258</v>
      </c>
      <c r="R73" s="947"/>
      <c r="S73" s="947"/>
      <c r="T73" s="947"/>
      <c r="U73" s="948"/>
    </row>
    <row r="74" spans="1:22" ht="41.25" customHeight="1" x14ac:dyDescent="0.35">
      <c r="A74" s="159" t="s">
        <v>184</v>
      </c>
      <c r="B74" s="776"/>
      <c r="C74" s="776"/>
      <c r="D74" s="776"/>
      <c r="E74" s="776"/>
      <c r="F74" s="785"/>
      <c r="G74" s="105"/>
      <c r="H74" s="105"/>
      <c r="I74" s="105"/>
      <c r="J74" s="105"/>
      <c r="K74" s="115"/>
      <c r="L74" s="105"/>
      <c r="M74" s="105"/>
      <c r="O74" s="59"/>
      <c r="P74" s="316" t="s">
        <v>260</v>
      </c>
      <c r="Q74" s="944" t="s">
        <v>244</v>
      </c>
      <c r="R74" s="944"/>
      <c r="S74" s="944"/>
      <c r="T74" s="944"/>
      <c r="U74" s="945"/>
    </row>
    <row r="75" spans="1:22" ht="36.75" customHeight="1" x14ac:dyDescent="0.2">
      <c r="A75" s="786" t="s">
        <v>264</v>
      </c>
      <c r="B75" s="787"/>
      <c r="C75" s="787"/>
      <c r="D75" s="787"/>
      <c r="E75" s="787"/>
      <c r="F75" s="788"/>
      <c r="G75" s="105"/>
      <c r="H75" s="105"/>
      <c r="I75" s="105"/>
      <c r="J75" s="105"/>
      <c r="K75" s="115"/>
      <c r="L75" s="105"/>
      <c r="M75" s="105"/>
      <c r="O75" s="59"/>
      <c r="P75" s="317"/>
      <c r="Q75" s="318"/>
      <c r="R75" s="318"/>
      <c r="S75" s="318"/>
      <c r="T75" s="318"/>
      <c r="U75" s="319"/>
    </row>
    <row r="76" spans="1:22" ht="27" customHeight="1" x14ac:dyDescent="0.2">
      <c r="A76" s="789" t="s">
        <v>696</v>
      </c>
      <c r="B76" s="791">
        <f>B61+Q76</f>
        <v>5.6976000000000226</v>
      </c>
      <c r="C76" s="791"/>
      <c r="D76" s="791"/>
      <c r="E76" s="791"/>
      <c r="F76" s="791"/>
      <c r="G76" s="105"/>
      <c r="H76" s="105"/>
      <c r="I76" s="105"/>
      <c r="J76" s="105"/>
      <c r="K76" s="115"/>
      <c r="L76" s="105"/>
      <c r="M76" s="105"/>
      <c r="O76" s="59"/>
      <c r="P76" s="930" t="s">
        <v>275</v>
      </c>
      <c r="Q76" s="774">
        <f>Q64/Q53</f>
        <v>2.5376000000000225</v>
      </c>
      <c r="R76" s="774"/>
      <c r="S76" s="774"/>
      <c r="T76" s="774"/>
      <c r="U76" s="775"/>
    </row>
    <row r="77" spans="1:22" ht="27" customHeight="1" x14ac:dyDescent="0.2">
      <c r="A77" s="790"/>
      <c r="B77" s="791"/>
      <c r="C77" s="791"/>
      <c r="D77" s="791"/>
      <c r="E77" s="791"/>
      <c r="F77" s="791"/>
      <c r="G77" s="105"/>
      <c r="H77" s="105"/>
      <c r="I77" s="105"/>
      <c r="J77" s="105"/>
      <c r="K77" s="115"/>
      <c r="L77" s="105"/>
      <c r="M77" s="105"/>
      <c r="O77" s="59"/>
      <c r="P77" s="931"/>
      <c r="Q77" s="776"/>
      <c r="R77" s="776"/>
      <c r="S77" s="776"/>
      <c r="T77" s="776"/>
      <c r="U77" s="777"/>
    </row>
    <row r="78" spans="1:22" ht="63.75" customHeight="1" x14ac:dyDescent="0.2">
      <c r="A78" s="160" t="s">
        <v>329</v>
      </c>
      <c r="B78" s="793">
        <f>(SQRT(B61+B68))</f>
        <v>2.3874672772626702</v>
      </c>
      <c r="C78" s="793"/>
      <c r="D78" s="793"/>
      <c r="E78" s="793"/>
      <c r="F78" s="794"/>
      <c r="G78" s="105"/>
      <c r="H78" s="105"/>
      <c r="I78" s="105"/>
      <c r="J78" s="105"/>
      <c r="K78" s="115"/>
      <c r="L78" s="105"/>
      <c r="M78" s="105"/>
      <c r="O78" s="59"/>
      <c r="P78" s="930" t="s">
        <v>276</v>
      </c>
      <c r="Q78" s="774">
        <f>SQRT(Q76)</f>
        <v>1.5929846201391973</v>
      </c>
      <c r="R78" s="774"/>
      <c r="S78" s="774"/>
      <c r="T78" s="774"/>
      <c r="U78" s="775"/>
    </row>
    <row r="79" spans="1:22" ht="44.25" customHeight="1" x14ac:dyDescent="0.2">
      <c r="A79" s="553" t="s">
        <v>753</v>
      </c>
      <c r="B79" s="791">
        <f>(B78/B58)*100</f>
        <v>1.7038733066390741</v>
      </c>
      <c r="C79" s="791"/>
      <c r="D79" s="791"/>
      <c r="E79" s="791"/>
      <c r="F79" s="791"/>
      <c r="G79" s="105"/>
      <c r="H79" s="105"/>
      <c r="I79" s="105"/>
      <c r="J79" s="105"/>
      <c r="K79" s="115"/>
      <c r="L79" s="105"/>
      <c r="M79" s="105"/>
      <c r="O79" s="59"/>
      <c r="P79" s="931"/>
      <c r="Q79" s="776"/>
      <c r="R79" s="776"/>
      <c r="S79" s="776"/>
      <c r="T79" s="776"/>
      <c r="U79" s="777"/>
    </row>
    <row r="80" spans="1:22" ht="27" customHeight="1" x14ac:dyDescent="0.2">
      <c r="A80" s="161" t="s">
        <v>754</v>
      </c>
      <c r="B80" s="792"/>
      <c r="C80" s="792"/>
      <c r="D80" s="792"/>
      <c r="E80" s="792"/>
      <c r="F80" s="792"/>
      <c r="G80" s="162"/>
      <c r="H80" s="105"/>
      <c r="I80" s="105"/>
      <c r="J80" s="105"/>
      <c r="K80" s="115"/>
      <c r="L80" s="105"/>
      <c r="M80" s="105"/>
      <c r="O80" s="59"/>
    </row>
    <row r="81" spans="1:21" ht="15" customHeight="1" thickBot="1" x14ac:dyDescent="0.25">
      <c r="A81" s="163"/>
      <c r="B81" s="164"/>
      <c r="C81" s="164"/>
      <c r="D81" s="164"/>
      <c r="E81" s="165"/>
      <c r="F81" s="165"/>
      <c r="G81" s="166"/>
      <c r="H81" s="166"/>
      <c r="I81" s="166"/>
      <c r="J81" s="105"/>
      <c r="K81" s="115"/>
      <c r="L81" s="105"/>
      <c r="M81" s="105"/>
    </row>
    <row r="82" spans="1:21" ht="12.75" customHeight="1" x14ac:dyDescent="0.2">
      <c r="A82" s="761" t="s">
        <v>186</v>
      </c>
      <c r="B82" s="761"/>
      <c r="C82" s="761"/>
      <c r="D82" s="761"/>
      <c r="E82" s="165"/>
      <c r="F82" s="165"/>
      <c r="G82" s="778" t="s">
        <v>55</v>
      </c>
      <c r="H82" s="779"/>
      <c r="I82" s="780"/>
      <c r="J82" s="105"/>
      <c r="K82" s="115"/>
      <c r="L82" s="105"/>
      <c r="M82" s="105"/>
    </row>
    <row r="83" spans="1:21" ht="12.75" customHeight="1" thickBot="1" x14ac:dyDescent="0.25">
      <c r="A83" s="762"/>
      <c r="B83" s="762"/>
      <c r="C83" s="762"/>
      <c r="D83" s="762"/>
      <c r="E83" s="164"/>
      <c r="F83" s="167"/>
      <c r="G83" s="781"/>
      <c r="H83" s="782"/>
      <c r="I83" s="783"/>
      <c r="J83" s="105"/>
      <c r="K83" s="115"/>
      <c r="L83" s="105"/>
      <c r="M83" s="105"/>
    </row>
    <row r="84" spans="1:21" ht="24.95" customHeight="1" x14ac:dyDescent="0.2">
      <c r="A84" s="105"/>
      <c r="B84" s="165"/>
      <c r="C84" s="165"/>
      <c r="D84" s="165"/>
      <c r="E84" s="165"/>
      <c r="F84" s="167"/>
      <c r="G84" s="938" t="s">
        <v>238</v>
      </c>
      <c r="H84" s="940" t="s">
        <v>239</v>
      </c>
      <c r="I84" s="942" t="s">
        <v>240</v>
      </c>
      <c r="J84" s="105"/>
      <c r="K84" s="115"/>
      <c r="L84" s="105"/>
      <c r="M84" s="105"/>
    </row>
    <row r="85" spans="1:21" ht="24.95" customHeight="1" x14ac:dyDescent="0.2">
      <c r="A85" s="168" t="s">
        <v>56</v>
      </c>
      <c r="B85" s="165"/>
      <c r="C85" s="169"/>
      <c r="D85" s="169"/>
      <c r="E85" s="165"/>
      <c r="F85" s="167"/>
      <c r="G85" s="939"/>
      <c r="H85" s="941"/>
      <c r="I85" s="943"/>
      <c r="J85" s="105"/>
      <c r="K85" s="115"/>
      <c r="L85" s="105"/>
      <c r="M85" s="105"/>
    </row>
    <row r="86" spans="1:21" ht="48.75" customHeight="1" x14ac:dyDescent="0.2">
      <c r="A86" s="170" t="s">
        <v>57</v>
      </c>
      <c r="B86" s="171" t="s">
        <v>58</v>
      </c>
      <c r="C86" s="171" t="s">
        <v>59</v>
      </c>
      <c r="D86" s="172" t="s">
        <v>60</v>
      </c>
      <c r="E86" s="173"/>
      <c r="F86" s="167"/>
      <c r="G86" s="174">
        <f>SUM(B40,B42,B44,B46,B48)</f>
        <v>4</v>
      </c>
      <c r="H86" s="174">
        <f>R54</f>
        <v>6.2720000000000509</v>
      </c>
      <c r="I86" s="174">
        <f>Q22</f>
        <v>10.272000000000052</v>
      </c>
      <c r="J86" s="115"/>
      <c r="K86" s="115"/>
      <c r="L86" s="105"/>
      <c r="M86" s="105"/>
    </row>
    <row r="87" spans="1:21" ht="20.100000000000001" customHeight="1" x14ac:dyDescent="0.2">
      <c r="A87" s="175" t="s">
        <v>61</v>
      </c>
      <c r="B87" s="176" t="s">
        <v>270</v>
      </c>
      <c r="C87" s="177" t="s">
        <v>62</v>
      </c>
      <c r="D87" s="178" t="s">
        <v>63</v>
      </c>
      <c r="E87" s="165"/>
      <c r="F87" s="167"/>
      <c r="G87" s="892">
        <f>SUM(C40,C42,C44,C46,C48)</f>
        <v>24.8</v>
      </c>
      <c r="H87" s="892">
        <f>R56</f>
        <v>2.3120000000000465</v>
      </c>
      <c r="I87" s="892">
        <f>R22</f>
        <v>27.111999999999973</v>
      </c>
      <c r="J87" s="115"/>
      <c r="K87" s="115"/>
      <c r="L87" s="105"/>
      <c r="M87" s="105"/>
    </row>
    <row r="88" spans="1:21" ht="20.100000000000001" customHeight="1" x14ac:dyDescent="0.2">
      <c r="A88" s="179" t="s">
        <v>64</v>
      </c>
      <c r="B88" s="180" t="s">
        <v>271</v>
      </c>
      <c r="C88" s="181" t="s">
        <v>65</v>
      </c>
      <c r="D88" s="182" t="s">
        <v>66</v>
      </c>
      <c r="E88" s="165"/>
      <c r="F88" s="167"/>
      <c r="G88" s="893"/>
      <c r="H88" s="893"/>
      <c r="I88" s="893"/>
      <c r="J88" s="115"/>
      <c r="K88" s="115"/>
      <c r="L88" s="105"/>
      <c r="M88" s="105"/>
    </row>
    <row r="89" spans="1:21" ht="20.100000000000001" customHeight="1" x14ac:dyDescent="0.2">
      <c r="A89" s="179" t="s">
        <v>67</v>
      </c>
      <c r="B89" s="183" t="s">
        <v>272</v>
      </c>
      <c r="C89" s="184" t="s">
        <v>141</v>
      </c>
      <c r="D89" s="182"/>
      <c r="E89" s="165"/>
      <c r="F89" s="167"/>
      <c r="G89" s="892">
        <f>SUM(D40,D42,D44,D46,D48)</f>
        <v>20.8</v>
      </c>
      <c r="H89" s="892">
        <f>R58</f>
        <v>18.432000000000308</v>
      </c>
      <c r="I89" s="892">
        <f>S22</f>
        <v>39.232000000000092</v>
      </c>
      <c r="J89" s="115"/>
      <c r="K89" s="115"/>
      <c r="L89" s="105"/>
      <c r="M89" s="105"/>
    </row>
    <row r="90" spans="1:21" ht="12.75" customHeight="1" thickBot="1" x14ac:dyDescent="0.25">
      <c r="A90" s="185"/>
      <c r="B90" s="186"/>
      <c r="C90" s="186"/>
      <c r="D90" s="164"/>
      <c r="E90" s="164"/>
      <c r="F90" s="167"/>
      <c r="G90" s="893"/>
      <c r="H90" s="893"/>
      <c r="I90" s="893"/>
      <c r="J90" s="115"/>
      <c r="K90" s="115"/>
      <c r="L90" s="105"/>
      <c r="M90" s="105"/>
    </row>
    <row r="91" spans="1:21" ht="39" thickBot="1" x14ac:dyDescent="0.25">
      <c r="A91" s="187" t="s">
        <v>57</v>
      </c>
      <c r="B91" s="188" t="s">
        <v>58</v>
      </c>
      <c r="C91" s="188" t="s">
        <v>142</v>
      </c>
      <c r="D91" s="188" t="s">
        <v>60</v>
      </c>
      <c r="E91" s="189" t="s">
        <v>143</v>
      </c>
      <c r="F91" s="167"/>
      <c r="G91" s="892">
        <f>SUM(E40,E42,E44,E46,E48)</f>
        <v>6.8000000000000007</v>
      </c>
      <c r="H91" s="892">
        <f>R60</f>
        <v>35.912000000000184</v>
      </c>
      <c r="I91" s="892">
        <f>T22</f>
        <v>42.711999999999883</v>
      </c>
      <c r="J91" s="115"/>
      <c r="K91" s="115"/>
      <c r="L91" s="105"/>
      <c r="M91" s="105"/>
    </row>
    <row r="92" spans="1:21" ht="16.5" thickBot="1" x14ac:dyDescent="0.25">
      <c r="A92" s="190" t="s">
        <v>68</v>
      </c>
      <c r="B92" s="191">
        <f>H95</f>
        <v>63.440000000000566</v>
      </c>
      <c r="C92" s="192">
        <f>B30-1</f>
        <v>4</v>
      </c>
      <c r="D92" s="193">
        <f>B92/C92</f>
        <v>15.860000000000142</v>
      </c>
      <c r="E92" s="194" t="s">
        <v>69</v>
      </c>
      <c r="F92" s="167"/>
      <c r="G92" s="893"/>
      <c r="H92" s="893"/>
      <c r="I92" s="893"/>
      <c r="J92" s="115"/>
      <c r="K92" s="115"/>
      <c r="L92" s="105"/>
      <c r="M92" s="105"/>
    </row>
    <row r="93" spans="1:21" ht="16.5" thickBot="1" x14ac:dyDescent="0.25">
      <c r="A93" s="190" t="s">
        <v>70</v>
      </c>
      <c r="B93" s="195">
        <f>G95</f>
        <v>63.2</v>
      </c>
      <c r="C93" s="196">
        <f>B30*(B29-1)</f>
        <v>20</v>
      </c>
      <c r="D93" s="193">
        <f>B93/C93</f>
        <v>3.16</v>
      </c>
      <c r="E93" s="194" t="s">
        <v>71</v>
      </c>
      <c r="F93" s="167"/>
      <c r="G93" s="892">
        <f>SUM(F40,F42,F44,F46,F48)</f>
        <v>6.8000000000000007</v>
      </c>
      <c r="H93" s="892">
        <f>R62</f>
        <v>0.51199999999997814</v>
      </c>
      <c r="I93" s="892">
        <f>U22</f>
        <v>7.3120000000000145</v>
      </c>
      <c r="J93" s="115"/>
      <c r="K93" s="115"/>
      <c r="L93" s="105"/>
      <c r="M93" s="105"/>
      <c r="T93" s="13"/>
      <c r="U93" s="13"/>
    </row>
    <row r="94" spans="1:21" ht="20.25" thickBot="1" x14ac:dyDescent="0.25">
      <c r="A94" s="190" t="s">
        <v>233</v>
      </c>
      <c r="B94" s="197">
        <f>I95</f>
        <v>126.64000000000001</v>
      </c>
      <c r="C94" s="192">
        <f>SUM(C92:C93)</f>
        <v>24</v>
      </c>
      <c r="D94" s="198">
        <f>B94/C94</f>
        <v>5.2766666666666673</v>
      </c>
      <c r="E94" s="194" t="s">
        <v>67</v>
      </c>
      <c r="F94" s="167"/>
      <c r="G94" s="893"/>
      <c r="H94" s="893"/>
      <c r="I94" s="893"/>
      <c r="J94" s="115"/>
      <c r="K94" s="115"/>
      <c r="L94" s="105"/>
      <c r="M94" s="105"/>
      <c r="T94" s="13"/>
      <c r="U94" s="13"/>
    </row>
    <row r="95" spans="1:21" ht="15.75" thickBot="1" x14ac:dyDescent="0.25">
      <c r="A95" s="105"/>
      <c r="B95" s="165"/>
      <c r="C95" s="165"/>
      <c r="D95" s="165"/>
      <c r="E95" s="199"/>
      <c r="F95" s="167"/>
      <c r="G95" s="908">
        <f>SUM(G86:G93)</f>
        <v>63.2</v>
      </c>
      <c r="H95" s="910">
        <f>SUM(H86:H94)</f>
        <v>63.440000000000566</v>
      </c>
      <c r="I95" s="912">
        <f>SUM(I86:I94)</f>
        <v>126.64000000000001</v>
      </c>
      <c r="J95" s="115"/>
      <c r="K95" s="115"/>
      <c r="L95" s="105"/>
      <c r="M95" s="105"/>
      <c r="T95" s="13"/>
      <c r="U95" s="13"/>
    </row>
    <row r="96" spans="1:21" ht="21.95" customHeight="1" thickBot="1" x14ac:dyDescent="0.5">
      <c r="A96" s="200" t="s">
        <v>167</v>
      </c>
      <c r="B96" s="898" t="s">
        <v>187</v>
      </c>
      <c r="C96" s="898"/>
      <c r="D96" s="898"/>
      <c r="E96" s="899"/>
      <c r="F96" s="201"/>
      <c r="G96" s="909"/>
      <c r="H96" s="911"/>
      <c r="I96" s="913"/>
      <c r="J96" s="105"/>
      <c r="K96" s="115"/>
      <c r="L96" s="105"/>
      <c r="M96" s="105"/>
      <c r="T96" s="13"/>
      <c r="U96" s="13"/>
    </row>
    <row r="97" spans="1:21" ht="21.95" customHeight="1" thickBot="1" x14ac:dyDescent="0.5">
      <c r="A97" s="923" t="s">
        <v>166</v>
      </c>
      <c r="B97" s="900" t="s">
        <v>191</v>
      </c>
      <c r="C97" s="900"/>
      <c r="D97" s="900"/>
      <c r="E97" s="901"/>
      <c r="F97" s="165"/>
      <c r="G97" s="202"/>
      <c r="H97" s="203"/>
      <c r="I97" s="204"/>
      <c r="J97" s="105"/>
      <c r="K97" s="115"/>
      <c r="L97" s="105"/>
      <c r="M97" s="105"/>
      <c r="T97" s="13"/>
      <c r="U97" s="13"/>
    </row>
    <row r="98" spans="1:21" ht="21.95" customHeight="1" x14ac:dyDescent="0.45">
      <c r="A98" s="924"/>
      <c r="B98" s="902" t="s">
        <v>192</v>
      </c>
      <c r="C98" s="903"/>
      <c r="D98" s="903"/>
      <c r="E98" s="904"/>
      <c r="F98" s="165"/>
      <c r="G98" s="105"/>
      <c r="H98" s="105"/>
      <c r="I98" s="105"/>
      <c r="J98" s="105"/>
      <c r="K98" s="115"/>
      <c r="L98" s="105"/>
      <c r="M98" s="105"/>
      <c r="T98" s="13"/>
      <c r="U98" s="13"/>
    </row>
    <row r="99" spans="1:21" ht="21.95" customHeight="1" x14ac:dyDescent="0.45">
      <c r="A99" s="205" t="s">
        <v>73</v>
      </c>
      <c r="B99" s="905" t="s">
        <v>190</v>
      </c>
      <c r="C99" s="905"/>
      <c r="D99" s="905"/>
      <c r="E99" s="906"/>
      <c r="F99" s="165"/>
      <c r="G99" s="105"/>
      <c r="H99" s="105"/>
      <c r="I99" s="105"/>
      <c r="J99" s="105"/>
      <c r="K99" s="115"/>
      <c r="L99" s="105"/>
      <c r="M99" s="105"/>
      <c r="T99" s="13"/>
      <c r="U99" s="13"/>
    </row>
    <row r="100" spans="1:21" ht="21.95" customHeight="1" x14ac:dyDescent="0.25">
      <c r="A100" s="200" t="s">
        <v>72</v>
      </c>
      <c r="B100" s="206"/>
      <c r="C100" s="206"/>
      <c r="D100" s="206"/>
      <c r="E100" s="207"/>
      <c r="F100" s="165"/>
      <c r="G100" s="105"/>
      <c r="H100" s="105"/>
      <c r="I100" s="105"/>
      <c r="J100" s="105"/>
      <c r="K100" s="115"/>
      <c r="L100" s="105"/>
      <c r="M100" s="105"/>
      <c r="T100" s="13"/>
      <c r="U100" s="13"/>
    </row>
    <row r="101" spans="1:21" ht="21.95" customHeight="1" x14ac:dyDescent="0.45">
      <c r="A101" s="208" t="s">
        <v>193</v>
      </c>
      <c r="B101" s="900" t="s">
        <v>188</v>
      </c>
      <c r="C101" s="925"/>
      <c r="D101" s="925"/>
      <c r="E101" s="901"/>
      <c r="F101" s="165"/>
      <c r="G101" s="105"/>
      <c r="H101" s="105"/>
      <c r="I101" s="105"/>
      <c r="J101" s="105"/>
      <c r="K101" s="115"/>
      <c r="L101" s="105"/>
      <c r="M101" s="105"/>
      <c r="T101" s="13"/>
      <c r="U101" s="13"/>
    </row>
    <row r="102" spans="1:21" ht="25.5" customHeight="1" thickBot="1" x14ac:dyDescent="0.4">
      <c r="A102" s="209" t="s">
        <v>196</v>
      </c>
      <c r="B102" s="630" t="s">
        <v>189</v>
      </c>
      <c r="C102" s="631"/>
      <c r="D102" s="631"/>
      <c r="E102" s="632"/>
      <c r="F102" s="164"/>
      <c r="G102" s="105"/>
      <c r="H102" s="105"/>
      <c r="I102" s="105"/>
      <c r="J102" s="105"/>
      <c r="K102" s="115"/>
      <c r="L102" s="105"/>
      <c r="M102" s="105"/>
      <c r="T102" s="13"/>
      <c r="U102" s="13"/>
    </row>
    <row r="103" spans="1:21" x14ac:dyDescent="0.2">
      <c r="A103" s="105"/>
      <c r="B103" s="105"/>
      <c r="C103" s="105"/>
      <c r="D103" s="105"/>
      <c r="E103" s="105"/>
      <c r="F103" s="165"/>
      <c r="G103" s="105"/>
      <c r="H103" s="105"/>
      <c r="I103" s="105"/>
      <c r="J103" s="105"/>
      <c r="K103" s="115"/>
      <c r="L103" s="105"/>
      <c r="M103" s="105"/>
    </row>
    <row r="104" spans="1:21" ht="15.75" customHeight="1" x14ac:dyDescent="0.2">
      <c r="A104" s="907" t="s">
        <v>170</v>
      </c>
      <c r="B104" s="907"/>
      <c r="C104" s="907"/>
      <c r="D104" s="907"/>
      <c r="E104" s="907"/>
      <c r="F104" s="165"/>
      <c r="G104" s="105"/>
      <c r="H104" s="105"/>
      <c r="I104" s="105"/>
      <c r="J104" s="105"/>
      <c r="K104" s="115"/>
      <c r="L104" s="105"/>
      <c r="M104" s="105"/>
    </row>
    <row r="105" spans="1:21" ht="15.75" customHeight="1" x14ac:dyDescent="0.2">
      <c r="A105" s="907" t="s">
        <v>74</v>
      </c>
      <c r="B105" s="907"/>
      <c r="C105" s="907"/>
      <c r="D105" s="907"/>
      <c r="E105" s="907"/>
      <c r="F105" s="165"/>
      <c r="G105" s="105"/>
      <c r="H105" s="105"/>
      <c r="I105" s="105"/>
      <c r="J105" s="105"/>
      <c r="K105" s="115"/>
      <c r="L105" s="105"/>
      <c r="M105" s="105"/>
    </row>
    <row r="106" spans="1:21" ht="15.75" customHeight="1" x14ac:dyDescent="0.2">
      <c r="A106" s="907" t="s">
        <v>171</v>
      </c>
      <c r="B106" s="907"/>
      <c r="C106" s="907"/>
      <c r="D106" s="907"/>
      <c r="E106" s="907"/>
      <c r="F106" s="165"/>
      <c r="G106" s="105"/>
      <c r="H106" s="105"/>
      <c r="I106" s="105"/>
      <c r="J106" s="105"/>
      <c r="K106" s="115"/>
      <c r="L106" s="105"/>
      <c r="M106" s="105"/>
    </row>
    <row r="107" spans="1:21" ht="13.5" thickBot="1" x14ac:dyDescent="0.25">
      <c r="A107" s="105"/>
      <c r="B107" s="165"/>
      <c r="C107" s="165"/>
      <c r="D107" s="165"/>
      <c r="E107" s="165"/>
      <c r="F107" s="165"/>
      <c r="G107" s="105"/>
      <c r="H107" s="105"/>
      <c r="I107" s="105"/>
      <c r="J107" s="105"/>
      <c r="K107" s="115"/>
      <c r="L107" s="105"/>
      <c r="M107" s="105"/>
    </row>
    <row r="108" spans="1:21" ht="47.25" customHeight="1" x14ac:dyDescent="0.2">
      <c r="A108" s="915" t="s">
        <v>75</v>
      </c>
      <c r="B108" s="926" t="s">
        <v>287</v>
      </c>
      <c r="C108" s="927"/>
      <c r="D108" s="917" t="s">
        <v>76</v>
      </c>
      <c r="E108" s="918"/>
      <c r="F108" s="918"/>
      <c r="G108" s="919"/>
      <c r="H108" s="917" t="s">
        <v>750</v>
      </c>
      <c r="I108" s="918"/>
      <c r="J108" s="918"/>
      <c r="K108" s="919"/>
      <c r="L108" s="210"/>
      <c r="M108" s="105"/>
    </row>
    <row r="109" spans="1:21" ht="25.5" customHeight="1" x14ac:dyDescent="0.2">
      <c r="A109" s="916"/>
      <c r="B109" s="928"/>
      <c r="C109" s="929"/>
      <c r="D109" s="920" t="s">
        <v>77</v>
      </c>
      <c r="E109" s="921"/>
      <c r="F109" s="922" t="s">
        <v>78</v>
      </c>
      <c r="G109" s="921"/>
      <c r="H109" s="920" t="s">
        <v>751</v>
      </c>
      <c r="I109" s="921"/>
      <c r="J109" s="920" t="s">
        <v>752</v>
      </c>
      <c r="K109" s="921"/>
      <c r="L109" s="211"/>
      <c r="M109" s="105"/>
    </row>
    <row r="110" spans="1:21" ht="20.100000000000001" customHeight="1" x14ac:dyDescent="0.4">
      <c r="A110" s="810">
        <f>G15</f>
        <v>142.5</v>
      </c>
      <c r="B110" s="212" t="s">
        <v>79</v>
      </c>
      <c r="C110" s="213" t="s">
        <v>80</v>
      </c>
      <c r="D110" s="812" t="s">
        <v>81</v>
      </c>
      <c r="E110" s="813"/>
      <c r="F110" s="814" t="s">
        <v>82</v>
      </c>
      <c r="G110" s="813"/>
      <c r="H110" s="812" t="s">
        <v>83</v>
      </c>
      <c r="I110" s="813"/>
      <c r="J110" s="814" t="s">
        <v>84</v>
      </c>
      <c r="K110" s="813"/>
      <c r="L110" s="211"/>
      <c r="M110" s="105"/>
    </row>
    <row r="111" spans="1:21" ht="20.100000000000001" customHeight="1" thickBot="1" x14ac:dyDescent="0.25">
      <c r="A111" s="811"/>
      <c r="B111" s="552">
        <f>G17/4</f>
        <v>9.0131250000000005</v>
      </c>
      <c r="C111" s="214">
        <f>G17/3</f>
        <v>12.0175</v>
      </c>
      <c r="D111" s="815">
        <f>B19</f>
        <v>3</v>
      </c>
      <c r="E111" s="816"/>
      <c r="F111" s="817">
        <f>B20</f>
        <v>4.0999999999999996</v>
      </c>
      <c r="G111" s="816"/>
      <c r="H111" s="815">
        <f>(D111*A110)/100</f>
        <v>4.2750000000000004</v>
      </c>
      <c r="I111" s="816"/>
      <c r="J111" s="818">
        <f>(F111*A110)/100</f>
        <v>5.8425000000000002</v>
      </c>
      <c r="K111" s="819"/>
      <c r="L111" s="215"/>
      <c r="M111" s="105"/>
    </row>
    <row r="112" spans="1:21" x14ac:dyDescent="0.2">
      <c r="A112" s="211"/>
      <c r="B112" s="165"/>
      <c r="C112" s="165"/>
      <c r="D112" s="165"/>
      <c r="E112" s="165"/>
      <c r="F112" s="165"/>
      <c r="G112" s="211"/>
      <c r="H112" s="105"/>
      <c r="I112" s="105"/>
      <c r="J112" s="105"/>
      <c r="K112" s="152"/>
      <c r="L112" s="105"/>
      <c r="M112" s="105"/>
    </row>
    <row r="113" spans="1:24" x14ac:dyDescent="0.2">
      <c r="A113" s="105"/>
      <c r="B113" s="165"/>
      <c r="C113" s="165"/>
      <c r="D113" s="165"/>
      <c r="E113" s="165"/>
      <c r="F113" s="165"/>
      <c r="G113" s="105"/>
      <c r="H113" s="105"/>
      <c r="I113" s="105"/>
      <c r="J113" s="105"/>
      <c r="K113" s="115"/>
      <c r="L113" s="105"/>
      <c r="M113" s="105"/>
    </row>
    <row r="114" spans="1:24" ht="24.95" customHeight="1" thickBot="1" x14ac:dyDescent="0.25">
      <c r="A114" s="914" t="s">
        <v>168</v>
      </c>
      <c r="B114" s="914"/>
      <c r="C114" s="914"/>
      <c r="D114" s="914"/>
      <c r="E114" s="914"/>
      <c r="F114" s="914"/>
      <c r="G114" s="914"/>
      <c r="H114" s="914"/>
      <c r="I114" s="914"/>
      <c r="J114" s="914"/>
      <c r="K114" s="914"/>
      <c r="L114" s="914"/>
      <c r="M114" s="105"/>
    </row>
    <row r="115" spans="1:24" ht="24.95" customHeight="1" thickBot="1" x14ac:dyDescent="0.4">
      <c r="A115" s="216" t="s">
        <v>85</v>
      </c>
      <c r="B115" s="217"/>
      <c r="C115" s="218"/>
      <c r="D115" s="218"/>
      <c r="E115" s="218"/>
      <c r="F115" s="165"/>
      <c r="G115" s="105"/>
      <c r="H115" s="105"/>
      <c r="I115" s="105"/>
      <c r="J115" s="105"/>
      <c r="K115" s="115"/>
      <c r="L115" s="105"/>
      <c r="M115" s="105"/>
      <c r="Q115" s="795" t="s">
        <v>86</v>
      </c>
      <c r="R115" s="796"/>
      <c r="S115" s="796"/>
      <c r="T115" s="796"/>
      <c r="U115" s="796"/>
      <c r="V115" s="796"/>
      <c r="W115" s="797"/>
      <c r="X115" s="105"/>
    </row>
    <row r="116" spans="1:24" ht="24.95" customHeight="1" thickBot="1" x14ac:dyDescent="0.3">
      <c r="A116" s="216"/>
      <c r="B116" s="218"/>
      <c r="C116" s="218"/>
      <c r="D116" s="218"/>
      <c r="E116" s="218"/>
      <c r="F116" s="165"/>
      <c r="G116" s="105"/>
      <c r="H116" s="105"/>
      <c r="I116" s="105"/>
      <c r="J116" s="105"/>
      <c r="K116" s="115"/>
      <c r="L116" s="105"/>
      <c r="M116" s="105"/>
      <c r="Q116" s="320" t="s">
        <v>87</v>
      </c>
      <c r="R116" s="321" t="s">
        <v>88</v>
      </c>
      <c r="S116" s="321" t="s">
        <v>89</v>
      </c>
      <c r="T116" s="321" t="s">
        <v>90</v>
      </c>
      <c r="U116" s="321" t="s">
        <v>91</v>
      </c>
      <c r="V116" s="321" t="s">
        <v>92</v>
      </c>
      <c r="W116" s="321" t="s">
        <v>93</v>
      </c>
      <c r="X116" s="105"/>
    </row>
    <row r="117" spans="1:24" ht="24.95" customHeight="1" thickBot="1" x14ac:dyDescent="0.3">
      <c r="A117" s="216" t="s">
        <v>197</v>
      </c>
      <c r="B117" s="218"/>
      <c r="C117" s="218"/>
      <c r="D117" s="218"/>
      <c r="E117" s="218"/>
      <c r="F117" s="165"/>
      <c r="G117" s="105"/>
      <c r="H117" s="105"/>
      <c r="I117" s="105"/>
      <c r="J117" s="105"/>
      <c r="K117" s="115"/>
      <c r="L117" s="105"/>
      <c r="M117" s="105"/>
      <c r="Q117" s="322">
        <v>5</v>
      </c>
      <c r="R117" s="323">
        <v>1.49</v>
      </c>
      <c r="S117" s="323">
        <v>1.6</v>
      </c>
      <c r="T117" s="323">
        <v>1.66</v>
      </c>
      <c r="U117" s="323">
        <v>1.71</v>
      </c>
      <c r="V117" s="323">
        <v>1.74</v>
      </c>
      <c r="W117" s="323">
        <v>1.76</v>
      </c>
      <c r="X117" s="105"/>
    </row>
    <row r="118" spans="1:24" ht="24.95" customHeight="1" thickBot="1" x14ac:dyDescent="0.25">
      <c r="A118" s="219"/>
      <c r="B118" s="220"/>
      <c r="C118" s="220"/>
      <c r="D118" s="220"/>
      <c r="E118" s="220"/>
      <c r="F118" s="220"/>
      <c r="G118" s="105"/>
      <c r="H118" s="105"/>
      <c r="I118" s="105"/>
      <c r="J118" s="105"/>
      <c r="K118" s="115"/>
      <c r="L118" s="105"/>
      <c r="M118" s="105"/>
      <c r="Q118" s="324">
        <v>6</v>
      </c>
      <c r="R118" s="325">
        <v>1.45</v>
      </c>
      <c r="S118" s="325">
        <v>1.55</v>
      </c>
      <c r="T118" s="325">
        <v>1.61</v>
      </c>
      <c r="U118" s="325">
        <v>1.65</v>
      </c>
      <c r="V118" s="325">
        <v>1.67</v>
      </c>
      <c r="W118" s="325">
        <v>1.7</v>
      </c>
      <c r="X118" s="105"/>
    </row>
    <row r="119" spans="1:24" ht="24.95" customHeight="1" thickBot="1" x14ac:dyDescent="0.25">
      <c r="A119" s="820" t="s">
        <v>198</v>
      </c>
      <c r="B119" s="821"/>
      <c r="C119" s="821"/>
      <c r="D119" s="821"/>
      <c r="E119" s="821"/>
      <c r="F119" s="821"/>
      <c r="G119" s="821"/>
      <c r="H119" s="821"/>
      <c r="I119" s="821"/>
      <c r="J119" s="821"/>
      <c r="K119" s="821"/>
      <c r="L119" s="822"/>
      <c r="M119" s="105"/>
      <c r="Q119" s="322">
        <v>7</v>
      </c>
      <c r="R119" s="323">
        <v>1.42</v>
      </c>
      <c r="S119" s="323">
        <v>1.51</v>
      </c>
      <c r="T119" s="323">
        <v>1.56</v>
      </c>
      <c r="U119" s="323">
        <v>1.6</v>
      </c>
      <c r="V119" s="323">
        <v>1.62</v>
      </c>
      <c r="W119" s="323">
        <v>1.65</v>
      </c>
      <c r="X119" s="105"/>
    </row>
    <row r="120" spans="1:24" ht="24.95" customHeight="1" thickBot="1" x14ac:dyDescent="0.25">
      <c r="A120" s="798" t="s">
        <v>199</v>
      </c>
      <c r="B120" s="799"/>
      <c r="C120" s="799"/>
      <c r="D120" s="799"/>
      <c r="E120" s="799"/>
      <c r="F120" s="799"/>
      <c r="G120" s="799"/>
      <c r="H120" s="799"/>
      <c r="I120" s="799"/>
      <c r="J120" s="799"/>
      <c r="K120" s="799"/>
      <c r="L120" s="800"/>
      <c r="M120" s="105"/>
      <c r="Q120" s="324">
        <v>8</v>
      </c>
      <c r="R120" s="325">
        <v>1.39</v>
      </c>
      <c r="S120" s="325">
        <v>1.48</v>
      </c>
      <c r="T120" s="325">
        <v>1.53</v>
      </c>
      <c r="U120" s="325">
        <v>1.56</v>
      </c>
      <c r="V120" s="325">
        <v>1.58</v>
      </c>
      <c r="W120" s="325">
        <v>1.6</v>
      </c>
      <c r="X120" s="105"/>
    </row>
    <row r="121" spans="1:24" ht="24.95" customHeight="1" thickBot="1" x14ac:dyDescent="0.25">
      <c r="A121" s="801"/>
      <c r="B121" s="802"/>
      <c r="C121" s="802"/>
      <c r="D121" s="802"/>
      <c r="E121" s="802"/>
      <c r="F121" s="802"/>
      <c r="G121" s="802"/>
      <c r="H121" s="802"/>
      <c r="I121" s="802"/>
      <c r="J121" s="802"/>
      <c r="K121" s="802"/>
      <c r="L121" s="803"/>
      <c r="M121" s="105"/>
      <c r="Q121" s="324">
        <v>9</v>
      </c>
      <c r="R121" s="325">
        <v>1.37</v>
      </c>
      <c r="S121" s="325">
        <v>1.45</v>
      </c>
      <c r="T121" s="325">
        <v>1.5</v>
      </c>
      <c r="U121" s="325">
        <v>1.53</v>
      </c>
      <c r="V121" s="325">
        <v>1.55</v>
      </c>
      <c r="W121" s="325">
        <v>1.57</v>
      </c>
      <c r="X121" s="105"/>
    </row>
    <row r="122" spans="1:24" ht="24.95" customHeight="1" thickBot="1" x14ac:dyDescent="0.25">
      <c r="A122" s="221"/>
      <c r="B122" s="221"/>
      <c r="C122" s="221"/>
      <c r="D122" s="221"/>
      <c r="E122" s="221"/>
      <c r="F122" s="221"/>
      <c r="G122" s="221"/>
      <c r="H122" s="221"/>
      <c r="I122" s="222"/>
      <c r="J122" s="222"/>
      <c r="K122" s="223"/>
      <c r="L122" s="222"/>
      <c r="M122" s="105"/>
      <c r="Q122" s="324">
        <v>10</v>
      </c>
      <c r="R122" s="325">
        <v>1.35</v>
      </c>
      <c r="S122" s="325">
        <v>1.43</v>
      </c>
      <c r="T122" s="325">
        <v>1.47</v>
      </c>
      <c r="U122" s="325">
        <v>1.5</v>
      </c>
      <c r="V122" s="325">
        <v>1.52</v>
      </c>
      <c r="W122" s="325">
        <v>1.54</v>
      </c>
      <c r="X122" s="105"/>
    </row>
    <row r="123" spans="1:24" ht="24.95" customHeight="1" thickBot="1" x14ac:dyDescent="0.25">
      <c r="A123" s="224" t="s">
        <v>94</v>
      </c>
      <c r="B123" s="804">
        <f>B19</f>
        <v>3</v>
      </c>
      <c r="C123" s="805"/>
      <c r="D123" s="805"/>
      <c r="E123" s="805"/>
      <c r="F123" s="806"/>
      <c r="G123" s="221"/>
      <c r="H123" s="221"/>
      <c r="I123" s="222"/>
      <c r="J123" s="225"/>
      <c r="K123" s="223"/>
      <c r="L123" s="222"/>
      <c r="M123" s="105"/>
      <c r="Q123" s="324">
        <v>11</v>
      </c>
      <c r="R123" s="325">
        <v>1.34</v>
      </c>
      <c r="S123" s="325">
        <v>1.41</v>
      </c>
      <c r="T123" s="325">
        <v>1.45</v>
      </c>
      <c r="U123" s="325">
        <v>1.48</v>
      </c>
      <c r="V123" s="325">
        <v>1.5</v>
      </c>
      <c r="W123" s="325">
        <v>1.52</v>
      </c>
      <c r="X123" s="105"/>
    </row>
    <row r="124" spans="1:24" ht="24.95" customHeight="1" thickBot="1" x14ac:dyDescent="0.25">
      <c r="A124" s="226" t="s">
        <v>95</v>
      </c>
      <c r="B124" s="807">
        <f>B66</f>
        <v>1.2686546413524966</v>
      </c>
      <c r="C124" s="808"/>
      <c r="D124" s="808"/>
      <c r="E124" s="808"/>
      <c r="F124" s="809"/>
      <c r="G124" s="222"/>
      <c r="H124" s="222"/>
      <c r="I124" s="222"/>
      <c r="J124" s="222"/>
      <c r="K124" s="223"/>
      <c r="L124" s="222"/>
      <c r="M124" s="105"/>
      <c r="Q124" s="322">
        <v>12</v>
      </c>
      <c r="R124" s="323">
        <v>1.32</v>
      </c>
      <c r="S124" s="323">
        <v>1.39</v>
      </c>
      <c r="T124" s="323">
        <v>1.43</v>
      </c>
      <c r="U124" s="323">
        <v>1.46</v>
      </c>
      <c r="V124" s="323">
        <v>1.48</v>
      </c>
      <c r="W124" s="323">
        <v>1.49</v>
      </c>
      <c r="X124" s="105"/>
    </row>
    <row r="125" spans="1:24" ht="24.95" customHeight="1" thickBot="1" x14ac:dyDescent="0.25">
      <c r="A125" s="227"/>
      <c r="B125" s="228"/>
      <c r="C125" s="228"/>
      <c r="D125" s="228"/>
      <c r="E125" s="228"/>
      <c r="F125" s="228"/>
      <c r="G125" s="222"/>
      <c r="H125" s="222"/>
      <c r="I125" s="222"/>
      <c r="J125" s="222"/>
      <c r="K125" s="223"/>
      <c r="L125" s="222"/>
      <c r="M125" s="105"/>
      <c r="Q125" s="324">
        <v>13</v>
      </c>
      <c r="R125" s="325">
        <v>1.31</v>
      </c>
      <c r="S125" s="325">
        <v>1.38</v>
      </c>
      <c r="T125" s="325">
        <v>1.42</v>
      </c>
      <c r="U125" s="325">
        <v>1.44</v>
      </c>
      <c r="V125" s="325">
        <v>1.46</v>
      </c>
      <c r="W125" s="325">
        <v>1.47</v>
      </c>
      <c r="X125" s="105"/>
    </row>
    <row r="126" spans="1:24" ht="24.95" customHeight="1" thickBot="1" x14ac:dyDescent="0.25">
      <c r="A126" s="835" t="s">
        <v>225</v>
      </c>
      <c r="B126" s="849" t="str">
        <f>IF(B124 &lt; B123," % CVR calculado &lt;  % CVR definido:                                                                            Verificación Aceptada. No requiere análisis extendido con uso de                                   Factor UVL", "% CVR calculado &gt;  % CVR definido:                                                                                        Verificar diferencia utilizando Factor UVL")</f>
        <v xml:space="preserve"> % CVR calculado &lt;  % CVR definido:                                                                            Verificación Aceptada. No requiere análisis extendido con uso de                                   Factor UVL</v>
      </c>
      <c r="C126" s="849"/>
      <c r="D126" s="849"/>
      <c r="E126" s="849"/>
      <c r="F126" s="849"/>
      <c r="G126" s="222"/>
      <c r="H126" s="222"/>
      <c r="I126" s="222"/>
      <c r="J126" s="222"/>
      <c r="K126" s="223"/>
      <c r="L126" s="222"/>
      <c r="M126" s="105"/>
      <c r="Q126" s="324">
        <v>14</v>
      </c>
      <c r="R126" s="325">
        <v>1.3</v>
      </c>
      <c r="S126" s="325">
        <v>1.37</v>
      </c>
      <c r="T126" s="325">
        <v>1.4</v>
      </c>
      <c r="U126" s="325">
        <v>1.42</v>
      </c>
      <c r="V126" s="325">
        <v>1.44</v>
      </c>
      <c r="W126" s="325">
        <v>1.46</v>
      </c>
      <c r="X126" s="105"/>
    </row>
    <row r="127" spans="1:24" ht="24.95" customHeight="1" thickBot="1" x14ac:dyDescent="0.25">
      <c r="A127" s="836"/>
      <c r="B127" s="849"/>
      <c r="C127" s="849"/>
      <c r="D127" s="849"/>
      <c r="E127" s="849"/>
      <c r="F127" s="849"/>
      <c r="G127" s="222"/>
      <c r="H127" s="105"/>
      <c r="I127" s="222"/>
      <c r="J127" s="222"/>
      <c r="K127" s="223"/>
      <c r="L127" s="222"/>
      <c r="M127" s="105"/>
      <c r="Q127" s="324">
        <v>15</v>
      </c>
      <c r="R127" s="325">
        <v>1.29</v>
      </c>
      <c r="S127" s="325">
        <v>1.35</v>
      </c>
      <c r="T127" s="325">
        <v>1.39</v>
      </c>
      <c r="U127" s="325">
        <v>1.41</v>
      </c>
      <c r="V127" s="325">
        <v>1.43</v>
      </c>
      <c r="W127" s="325">
        <v>1.44</v>
      </c>
      <c r="X127" s="105"/>
    </row>
    <row r="128" spans="1:24" ht="24.95" customHeight="1" thickBot="1" x14ac:dyDescent="0.25">
      <c r="A128" s="837"/>
      <c r="B128" s="849"/>
      <c r="C128" s="849"/>
      <c r="D128" s="849"/>
      <c r="E128" s="849"/>
      <c r="F128" s="849"/>
      <c r="G128" s="222"/>
      <c r="H128" s="105"/>
      <c r="I128" s="222"/>
      <c r="J128" s="222"/>
      <c r="K128" s="223"/>
      <c r="L128" s="222"/>
      <c r="M128" s="105"/>
      <c r="Q128" s="324">
        <v>16</v>
      </c>
      <c r="R128" s="325">
        <v>1.28</v>
      </c>
      <c r="S128" s="325">
        <v>1.34</v>
      </c>
      <c r="T128" s="325">
        <v>1.38</v>
      </c>
      <c r="U128" s="325">
        <v>1.4</v>
      </c>
      <c r="V128" s="325">
        <v>1.41</v>
      </c>
      <c r="W128" s="325">
        <v>1.43</v>
      </c>
      <c r="X128" s="105"/>
    </row>
    <row r="129" spans="1:24" ht="24.95" customHeight="1" thickBot="1" x14ac:dyDescent="0.25">
      <c r="A129" s="229"/>
      <c r="B129" s="230"/>
      <c r="C129" s="230"/>
      <c r="D129" s="230"/>
      <c r="E129" s="230"/>
      <c r="F129" s="228"/>
      <c r="G129" s="105"/>
      <c r="H129" s="105"/>
      <c r="I129" s="105"/>
      <c r="J129" s="105"/>
      <c r="K129" s="115"/>
      <c r="L129" s="105"/>
      <c r="M129" s="105"/>
      <c r="Q129" s="324">
        <v>17</v>
      </c>
      <c r="R129" s="325">
        <v>1.27</v>
      </c>
      <c r="S129" s="325">
        <v>1.33</v>
      </c>
      <c r="T129" s="325">
        <v>1.36</v>
      </c>
      <c r="U129" s="325">
        <v>1.39</v>
      </c>
      <c r="V129" s="325">
        <v>1.4</v>
      </c>
      <c r="W129" s="325">
        <v>1.41</v>
      </c>
      <c r="X129" s="105"/>
    </row>
    <row r="130" spans="1:24" ht="24.95" customHeight="1" thickBot="1" x14ac:dyDescent="0.25">
      <c r="A130" s="838" t="s">
        <v>96</v>
      </c>
      <c r="B130" s="838"/>
      <c r="C130" s="838"/>
      <c r="D130" s="838"/>
      <c r="E130" s="838"/>
      <c r="F130" s="838"/>
      <c r="G130" s="105"/>
      <c r="H130" s="105"/>
      <c r="I130" s="105"/>
      <c r="J130" s="105"/>
      <c r="K130" s="115"/>
      <c r="L130" s="105"/>
      <c r="M130" s="105"/>
      <c r="Q130" s="324">
        <v>18</v>
      </c>
      <c r="R130" s="325">
        <v>1.27</v>
      </c>
      <c r="S130" s="325">
        <v>1.32</v>
      </c>
      <c r="T130" s="325">
        <v>1.35</v>
      </c>
      <c r="U130" s="325">
        <v>1.37</v>
      </c>
      <c r="V130" s="325">
        <v>1.39</v>
      </c>
      <c r="W130" s="325">
        <v>1.4</v>
      </c>
      <c r="X130" s="105"/>
    </row>
    <row r="131" spans="1:24" ht="24.95" customHeight="1" thickBot="1" x14ac:dyDescent="0.25">
      <c r="A131" s="838" t="s">
        <v>97</v>
      </c>
      <c r="B131" s="838"/>
      <c r="C131" s="839"/>
      <c r="D131" s="839"/>
      <c r="E131" s="839"/>
      <c r="F131" s="839"/>
      <c r="G131" s="105"/>
      <c r="H131" s="105"/>
      <c r="I131" s="105"/>
      <c r="J131" s="105"/>
      <c r="K131" s="115"/>
      <c r="L131" s="105"/>
      <c r="M131" s="105"/>
      <c r="Q131" s="324">
        <v>19</v>
      </c>
      <c r="R131" s="325">
        <v>1.26</v>
      </c>
      <c r="S131" s="325">
        <v>1.31</v>
      </c>
      <c r="T131" s="325">
        <v>1.34</v>
      </c>
      <c r="U131" s="325">
        <v>1.36</v>
      </c>
      <c r="V131" s="325">
        <v>1.38</v>
      </c>
      <c r="W131" s="325">
        <v>1.39</v>
      </c>
      <c r="X131" s="105"/>
    </row>
    <row r="132" spans="1:24" ht="24.95" customHeight="1" thickBot="1" x14ac:dyDescent="0.25">
      <c r="A132" s="224" t="s">
        <v>200</v>
      </c>
      <c r="B132" s="231">
        <f>B29*B30</f>
        <v>25</v>
      </c>
      <c r="C132" s="232"/>
      <c r="D132" s="232"/>
      <c r="E132" s="232"/>
      <c r="F132" s="230"/>
      <c r="G132" s="105"/>
      <c r="H132" s="105"/>
      <c r="I132" s="105"/>
      <c r="J132" s="105"/>
      <c r="K132" s="115"/>
      <c r="L132" s="105"/>
      <c r="M132" s="105"/>
      <c r="Q132" s="324">
        <v>20</v>
      </c>
      <c r="R132" s="325">
        <v>1.25</v>
      </c>
      <c r="S132" s="325">
        <v>1.31</v>
      </c>
      <c r="T132" s="325">
        <v>1.34</v>
      </c>
      <c r="U132" s="325">
        <v>1.36</v>
      </c>
      <c r="V132" s="325">
        <v>1.37</v>
      </c>
      <c r="W132" s="325">
        <v>1.38</v>
      </c>
      <c r="X132" s="105"/>
    </row>
    <row r="133" spans="1:24" ht="24.95" customHeight="1" thickBot="1" x14ac:dyDescent="0.25">
      <c r="A133" s="233" t="s">
        <v>98</v>
      </c>
      <c r="B133" s="234">
        <f>B29</f>
        <v>5</v>
      </c>
      <c r="C133" s="232"/>
      <c r="D133" s="232"/>
      <c r="E133" s="232"/>
      <c r="F133" s="230"/>
      <c r="G133" s="105"/>
      <c r="H133" s="105"/>
      <c r="I133" s="105"/>
      <c r="J133" s="105"/>
      <c r="K133" s="115"/>
      <c r="L133" s="105"/>
      <c r="M133" s="105"/>
      <c r="Q133" s="324">
        <v>21</v>
      </c>
      <c r="R133" s="325">
        <v>1.25</v>
      </c>
      <c r="S133" s="325">
        <v>1.3</v>
      </c>
      <c r="T133" s="325">
        <v>1.33</v>
      </c>
      <c r="U133" s="325">
        <v>1.35</v>
      </c>
      <c r="V133" s="325">
        <v>1.36</v>
      </c>
      <c r="W133" s="325">
        <v>1.37</v>
      </c>
      <c r="X133" s="105"/>
    </row>
    <row r="134" spans="1:24" ht="24.95" customHeight="1" thickBot="1" x14ac:dyDescent="0.25">
      <c r="A134" s="224" t="s">
        <v>99</v>
      </c>
      <c r="B134" s="231">
        <f>B132-B133</f>
        <v>20</v>
      </c>
      <c r="C134" s="232"/>
      <c r="D134" s="232"/>
      <c r="E134" s="232"/>
      <c r="F134" s="230"/>
      <c r="G134" s="105"/>
      <c r="H134" s="105"/>
      <c r="I134" s="105"/>
      <c r="J134" s="105"/>
      <c r="K134" s="115"/>
      <c r="L134" s="105"/>
      <c r="M134" s="105"/>
      <c r="Q134" s="324">
        <v>22</v>
      </c>
      <c r="R134" s="325">
        <v>1.24</v>
      </c>
      <c r="S134" s="325">
        <v>1.29</v>
      </c>
      <c r="T134" s="325">
        <v>1.32</v>
      </c>
      <c r="U134" s="325">
        <v>1.34</v>
      </c>
      <c r="V134" s="325">
        <v>1.35</v>
      </c>
      <c r="W134" s="325">
        <v>1.36</v>
      </c>
      <c r="X134" s="105"/>
    </row>
    <row r="135" spans="1:24" ht="24.95" customHeight="1" thickBot="1" x14ac:dyDescent="0.25">
      <c r="A135" s="224" t="s">
        <v>100</v>
      </c>
      <c r="B135" s="231">
        <f>VLOOKUP($B$134,$Q$117:$W$146,4,TRUE)</f>
        <v>1.34</v>
      </c>
      <c r="C135" s="232"/>
      <c r="D135" s="232"/>
      <c r="E135" s="232"/>
      <c r="F135" s="230"/>
      <c r="G135" s="105"/>
      <c r="H135" s="105"/>
      <c r="I135" s="105"/>
      <c r="J135" s="105"/>
      <c r="K135" s="115"/>
      <c r="L135" s="105"/>
      <c r="M135" s="105"/>
      <c r="Q135" s="324">
        <v>23</v>
      </c>
      <c r="R135" s="325">
        <v>1.24</v>
      </c>
      <c r="S135" s="325">
        <v>1.29</v>
      </c>
      <c r="T135" s="325">
        <v>1.31</v>
      </c>
      <c r="U135" s="325">
        <v>1.33</v>
      </c>
      <c r="V135" s="325">
        <v>1.35</v>
      </c>
      <c r="W135" s="325">
        <v>1.36</v>
      </c>
      <c r="X135" s="105"/>
    </row>
    <row r="136" spans="1:24" ht="24.95" customHeight="1" thickBot="1" x14ac:dyDescent="0.25">
      <c r="A136" s="224" t="s">
        <v>101</v>
      </c>
      <c r="B136" s="231">
        <f>VLOOKUP($B$134,$Q$117:$W$146,3,TRUE)</f>
        <v>1.31</v>
      </c>
      <c r="C136" s="232"/>
      <c r="D136" s="232"/>
      <c r="E136" s="232"/>
      <c r="F136" s="230"/>
      <c r="G136" s="105"/>
      <c r="H136" s="105"/>
      <c r="I136" s="105"/>
      <c r="J136" s="105"/>
      <c r="K136" s="115"/>
      <c r="L136" s="105"/>
      <c r="M136" s="105"/>
      <c r="Q136" s="324">
        <v>24</v>
      </c>
      <c r="R136" s="325">
        <v>1.23</v>
      </c>
      <c r="S136" s="325">
        <v>1.28</v>
      </c>
      <c r="T136" s="325">
        <v>1.31</v>
      </c>
      <c r="U136" s="325">
        <v>1.32</v>
      </c>
      <c r="V136" s="325">
        <v>1.34</v>
      </c>
      <c r="W136" s="325">
        <v>1.35</v>
      </c>
      <c r="X136" s="105"/>
    </row>
    <row r="137" spans="1:24" ht="24.95" customHeight="1" thickBot="1" x14ac:dyDescent="0.25">
      <c r="A137" s="235" t="s">
        <v>123</v>
      </c>
      <c r="B137" s="236">
        <f>VLOOKUP($B$134,$Q$117:$W$146,2,TRUE)</f>
        <v>1.25</v>
      </c>
      <c r="C137" s="232"/>
      <c r="D137" s="232"/>
      <c r="E137" s="232"/>
      <c r="F137" s="230"/>
      <c r="G137" s="105"/>
      <c r="H137" s="105"/>
      <c r="I137" s="105"/>
      <c r="J137" s="105"/>
      <c r="K137" s="115"/>
      <c r="L137" s="105"/>
      <c r="M137" s="105"/>
      <c r="Q137" s="326">
        <v>25</v>
      </c>
      <c r="R137" s="327">
        <v>1.23</v>
      </c>
      <c r="S137" s="327">
        <v>1.28</v>
      </c>
      <c r="T137" s="327">
        <v>1.3</v>
      </c>
      <c r="U137" s="327">
        <v>1.32</v>
      </c>
      <c r="V137" s="327">
        <v>1.33</v>
      </c>
      <c r="W137" s="327">
        <v>1.34</v>
      </c>
      <c r="X137" s="105"/>
    </row>
    <row r="138" spans="1:24" ht="24.95" customHeight="1" thickBot="1" x14ac:dyDescent="0.25">
      <c r="A138" s="237" t="s">
        <v>25</v>
      </c>
      <c r="B138" s="238">
        <f>B19</f>
        <v>3</v>
      </c>
      <c r="C138" s="239"/>
      <c r="D138" s="239"/>
      <c r="E138" s="240"/>
      <c r="F138" s="230"/>
      <c r="G138" s="105"/>
      <c r="H138" s="105"/>
      <c r="I138" s="105"/>
      <c r="J138" s="105"/>
      <c r="K138" s="115"/>
      <c r="L138" s="105"/>
      <c r="M138" s="105"/>
      <c r="Q138" s="328">
        <v>26</v>
      </c>
      <c r="R138" s="329">
        <v>1.22</v>
      </c>
      <c r="S138" s="329">
        <v>1.27</v>
      </c>
      <c r="T138" s="329">
        <v>1.3</v>
      </c>
      <c r="U138" s="329">
        <v>1.31</v>
      </c>
      <c r="V138" s="329">
        <v>1.32</v>
      </c>
      <c r="W138" s="329">
        <v>1.34</v>
      </c>
      <c r="X138" s="105"/>
    </row>
    <row r="139" spans="1:24" ht="24.95" customHeight="1" thickBot="1" x14ac:dyDescent="0.25">
      <c r="A139" s="840" t="s">
        <v>226</v>
      </c>
      <c r="B139" s="241">
        <f>B135*$B$138</f>
        <v>4.0200000000000005</v>
      </c>
      <c r="C139" s="843" t="s">
        <v>102</v>
      </c>
      <c r="D139" s="844"/>
      <c r="E139" s="845"/>
      <c r="F139" s="230"/>
      <c r="G139" s="105"/>
      <c r="H139" s="105"/>
      <c r="I139" s="105"/>
      <c r="J139" s="105"/>
      <c r="K139" s="115"/>
      <c r="L139" s="105"/>
      <c r="M139" s="105"/>
      <c r="Q139" s="324">
        <v>27</v>
      </c>
      <c r="R139" s="325">
        <v>1.22</v>
      </c>
      <c r="S139" s="325">
        <v>1.26</v>
      </c>
      <c r="T139" s="325">
        <v>1.29</v>
      </c>
      <c r="U139" s="325">
        <v>1.31</v>
      </c>
      <c r="V139" s="325">
        <v>1.32</v>
      </c>
      <c r="W139" s="325">
        <v>1.33</v>
      </c>
      <c r="X139" s="105"/>
    </row>
    <row r="140" spans="1:24" ht="24.95" customHeight="1" thickBot="1" x14ac:dyDescent="0.25">
      <c r="A140" s="841"/>
      <c r="B140" s="241">
        <f t="shared" ref="B140:B141" si="14">B136*$B$138</f>
        <v>3.93</v>
      </c>
      <c r="C140" s="843" t="s">
        <v>103</v>
      </c>
      <c r="D140" s="844"/>
      <c r="E140" s="845"/>
      <c r="F140" s="230"/>
      <c r="G140" s="105"/>
      <c r="H140" s="105"/>
      <c r="I140" s="105"/>
      <c r="J140" s="105"/>
      <c r="K140" s="115"/>
      <c r="L140" s="105"/>
      <c r="M140" s="105"/>
      <c r="Q140" s="326">
        <v>28</v>
      </c>
      <c r="R140" s="327">
        <v>1.22</v>
      </c>
      <c r="S140" s="327">
        <v>1.26</v>
      </c>
      <c r="T140" s="327">
        <v>1.28</v>
      </c>
      <c r="U140" s="327">
        <v>1.3</v>
      </c>
      <c r="V140" s="327">
        <v>1.31</v>
      </c>
      <c r="W140" s="327">
        <v>1.32</v>
      </c>
      <c r="X140" s="105"/>
    </row>
    <row r="141" spans="1:24" ht="24.95" customHeight="1" thickBot="1" x14ac:dyDescent="0.25">
      <c r="A141" s="842"/>
      <c r="B141" s="242">
        <f t="shared" si="14"/>
        <v>3.75</v>
      </c>
      <c r="C141" s="846" t="s">
        <v>104</v>
      </c>
      <c r="D141" s="847"/>
      <c r="E141" s="848"/>
      <c r="F141" s="230"/>
      <c r="G141" s="105"/>
      <c r="H141" s="105"/>
      <c r="I141" s="105"/>
      <c r="J141" s="105"/>
      <c r="K141" s="115"/>
      <c r="L141" s="105"/>
      <c r="M141" s="105"/>
      <c r="Q141" s="324">
        <v>29</v>
      </c>
      <c r="R141" s="325">
        <v>1.21</v>
      </c>
      <c r="S141" s="325">
        <v>1.26</v>
      </c>
      <c r="T141" s="325">
        <v>1.28</v>
      </c>
      <c r="U141" s="325">
        <v>1.3</v>
      </c>
      <c r="V141" s="325">
        <v>1.31</v>
      </c>
      <c r="W141" s="325">
        <v>1.32</v>
      </c>
      <c r="X141" s="105"/>
    </row>
    <row r="142" spans="1:24" ht="24.95" customHeight="1" thickBot="1" x14ac:dyDescent="0.25">
      <c r="A142" s="243"/>
      <c r="B142" s="230"/>
      <c r="C142" s="230"/>
      <c r="D142" s="230"/>
      <c r="E142" s="230"/>
      <c r="F142" s="230"/>
      <c r="G142" s="105"/>
      <c r="H142" s="105"/>
      <c r="I142" s="105"/>
      <c r="J142" s="105"/>
      <c r="K142" s="115"/>
      <c r="L142" s="105"/>
      <c r="M142" s="105"/>
      <c r="Q142" s="324">
        <v>30</v>
      </c>
      <c r="R142" s="325">
        <v>1.21</v>
      </c>
      <c r="S142" s="325">
        <v>1.25</v>
      </c>
      <c r="T142" s="325">
        <v>1.27</v>
      </c>
      <c r="U142" s="325">
        <v>1.29</v>
      </c>
      <c r="V142" s="325">
        <v>1.3</v>
      </c>
      <c r="W142" s="325">
        <v>1.31</v>
      </c>
      <c r="X142" s="105"/>
    </row>
    <row r="143" spans="1:24" ht="24.95" customHeight="1" thickBot="1" x14ac:dyDescent="0.25">
      <c r="A143" s="850" t="s">
        <v>105</v>
      </c>
      <c r="B143" s="850"/>
      <c r="C143" s="850"/>
      <c r="D143" s="850"/>
      <c r="E143" s="850"/>
      <c r="F143" s="850"/>
      <c r="G143" s="105"/>
      <c r="H143" s="105"/>
      <c r="I143" s="105"/>
      <c r="J143" s="105"/>
      <c r="K143" s="115"/>
      <c r="L143" s="105"/>
      <c r="M143" s="105"/>
      <c r="Q143" s="326">
        <v>31</v>
      </c>
      <c r="R143" s="330">
        <v>1.2</v>
      </c>
      <c r="S143" s="327">
        <v>1.25</v>
      </c>
      <c r="T143" s="327">
        <v>1.27</v>
      </c>
      <c r="U143" s="327">
        <v>1.29</v>
      </c>
      <c r="V143" s="327">
        <v>1.3</v>
      </c>
      <c r="W143" s="327">
        <v>1.31</v>
      </c>
      <c r="X143" s="105"/>
    </row>
    <row r="144" spans="1:24" ht="24.95" customHeight="1" thickBot="1" x14ac:dyDescent="0.25">
      <c r="A144" s="850"/>
      <c r="B144" s="850"/>
      <c r="C144" s="850"/>
      <c r="D144" s="850"/>
      <c r="E144" s="850"/>
      <c r="F144" s="850"/>
      <c r="G144" s="105"/>
      <c r="H144" s="105"/>
      <c r="I144" s="105"/>
      <c r="J144" s="105"/>
      <c r="K144" s="115"/>
      <c r="L144" s="105"/>
      <c r="M144" s="105"/>
      <c r="Q144" s="326">
        <v>32</v>
      </c>
      <c r="R144" s="330">
        <v>1.2</v>
      </c>
      <c r="S144" s="327">
        <v>1.24</v>
      </c>
      <c r="T144" s="327">
        <v>1.27</v>
      </c>
      <c r="U144" s="327">
        <v>1.28</v>
      </c>
      <c r="V144" s="327">
        <v>1.29</v>
      </c>
      <c r="W144" s="327">
        <v>1.3</v>
      </c>
      <c r="X144" s="105"/>
    </row>
    <row r="145" spans="1:24" ht="25.5" customHeight="1" thickBot="1" x14ac:dyDescent="0.25">
      <c r="A145" s="244"/>
      <c r="B145" s="245"/>
      <c r="C145" s="245"/>
      <c r="D145" s="245"/>
      <c r="E145" s="245"/>
      <c r="F145" s="245"/>
      <c r="G145" s="246"/>
      <c r="H145" s="246"/>
      <c r="I145" s="210"/>
      <c r="J145" s="105"/>
      <c r="K145" s="115"/>
      <c r="L145" s="105"/>
      <c r="M145" s="105"/>
      <c r="Q145" s="326">
        <v>33</v>
      </c>
      <c r="R145" s="330">
        <v>1.2</v>
      </c>
      <c r="S145" s="327">
        <v>1.24</v>
      </c>
      <c r="T145" s="327">
        <v>1.26</v>
      </c>
      <c r="U145" s="327">
        <v>1.28</v>
      </c>
      <c r="V145" s="327">
        <v>1.29</v>
      </c>
      <c r="W145" s="327">
        <v>1.3</v>
      </c>
      <c r="X145" s="105"/>
    </row>
    <row r="146" spans="1:24" ht="24.95" customHeight="1" thickBot="1" x14ac:dyDescent="0.25">
      <c r="A146" s="224" t="s">
        <v>106</v>
      </c>
      <c r="B146" s="851">
        <f>B139</f>
        <v>4.0200000000000005</v>
      </c>
      <c r="C146" s="805"/>
      <c r="D146" s="805"/>
      <c r="E146" s="805"/>
      <c r="F146" s="806"/>
      <c r="G146" s="894" t="s">
        <v>102</v>
      </c>
      <c r="H146" s="805"/>
      <c r="I146" s="806"/>
      <c r="J146" s="105"/>
      <c r="K146" s="115"/>
      <c r="L146" s="105"/>
      <c r="M146" s="105"/>
      <c r="Q146" s="326">
        <v>34</v>
      </c>
      <c r="R146" s="330">
        <v>1.2</v>
      </c>
      <c r="S146" s="327">
        <v>1.24</v>
      </c>
      <c r="T146" s="327">
        <v>1.26</v>
      </c>
      <c r="U146" s="327">
        <v>1.27</v>
      </c>
      <c r="V146" s="327">
        <v>1.28</v>
      </c>
      <c r="W146" s="327">
        <v>1.29</v>
      </c>
      <c r="X146" s="105"/>
    </row>
    <row r="147" spans="1:24" ht="24.95" customHeight="1" thickBot="1" x14ac:dyDescent="0.25">
      <c r="A147" s="247" t="s">
        <v>107</v>
      </c>
      <c r="B147" s="895">
        <f>B66</f>
        <v>1.2686546413524966</v>
      </c>
      <c r="C147" s="896"/>
      <c r="D147" s="896"/>
      <c r="E147" s="896"/>
      <c r="F147" s="897"/>
      <c r="G147" s="105"/>
      <c r="H147" s="105"/>
      <c r="I147" s="105"/>
      <c r="J147" s="105"/>
      <c r="K147" s="115"/>
      <c r="L147" s="105"/>
      <c r="M147" s="105"/>
      <c r="Q147" s="105"/>
      <c r="R147" s="211"/>
      <c r="S147" s="105"/>
      <c r="T147" s="105"/>
      <c r="U147" s="105"/>
      <c r="V147" s="105"/>
      <c r="W147" s="105"/>
      <c r="X147" s="105"/>
    </row>
    <row r="148" spans="1:24" ht="24.95" customHeight="1" thickBot="1" x14ac:dyDescent="0.25">
      <c r="A148" s="222"/>
      <c r="B148" s="165"/>
      <c r="C148" s="165"/>
      <c r="D148" s="165"/>
      <c r="E148" s="165"/>
      <c r="F148" s="165"/>
      <c r="G148" s="105"/>
      <c r="H148" s="105"/>
      <c r="I148" s="105"/>
      <c r="J148" s="105"/>
      <c r="K148" s="115"/>
      <c r="L148" s="105"/>
      <c r="M148" s="105"/>
      <c r="Q148" s="105"/>
      <c r="R148" s="105"/>
      <c r="S148" s="105"/>
      <c r="T148" s="105"/>
      <c r="U148" s="105"/>
      <c r="V148" s="105"/>
      <c r="W148" s="105"/>
      <c r="X148" s="105"/>
    </row>
    <row r="149" spans="1:24" ht="24.95" customHeight="1" x14ac:dyDescent="0.2">
      <c r="A149" s="823" t="s">
        <v>108</v>
      </c>
      <c r="B149" s="826" t="str">
        <f>IF(B147 &lt; B146," % CVR calculado &lt;  % CVR definido:                                                                            Verificación Aceptada", "% CVR calculado &gt;  % CVR definido, considerando Factor UVL:                                                                                        Reevalúe el experimento de verificación y/o contacte al Proveedor")</f>
        <v xml:space="preserve"> % CVR calculado &lt;  % CVR definido:                                                                            Verificación Aceptada</v>
      </c>
      <c r="C149" s="827"/>
      <c r="D149" s="827"/>
      <c r="E149" s="827"/>
      <c r="F149" s="828"/>
      <c r="G149" s="105"/>
      <c r="H149" s="105"/>
      <c r="I149" s="105"/>
      <c r="J149" s="105"/>
      <c r="K149" s="115"/>
      <c r="L149" s="105"/>
      <c r="M149" s="105"/>
      <c r="Q149" s="105"/>
      <c r="R149" s="105"/>
      <c r="S149" s="105"/>
      <c r="T149" s="105"/>
      <c r="U149" s="105"/>
      <c r="V149" s="105"/>
      <c r="W149" s="105"/>
      <c r="X149" s="105"/>
    </row>
    <row r="150" spans="1:24" ht="24.95" customHeight="1" x14ac:dyDescent="0.2">
      <c r="A150" s="824"/>
      <c r="B150" s="829"/>
      <c r="C150" s="830"/>
      <c r="D150" s="830"/>
      <c r="E150" s="830"/>
      <c r="F150" s="831"/>
      <c r="G150" s="105"/>
      <c r="H150" s="105"/>
      <c r="I150" s="105"/>
      <c r="J150" s="105"/>
      <c r="K150" s="115"/>
      <c r="L150" s="105"/>
      <c r="M150" s="105"/>
      <c r="Q150" s="105"/>
      <c r="R150" s="105"/>
      <c r="S150" s="105"/>
      <c r="T150" s="105"/>
      <c r="U150" s="105"/>
      <c r="V150" s="105"/>
      <c r="W150" s="105"/>
      <c r="X150" s="105"/>
    </row>
    <row r="151" spans="1:24" ht="24.95" customHeight="1" thickBot="1" x14ac:dyDescent="0.25">
      <c r="A151" s="825"/>
      <c r="B151" s="832"/>
      <c r="C151" s="833"/>
      <c r="D151" s="833"/>
      <c r="E151" s="833"/>
      <c r="F151" s="834"/>
      <c r="G151" s="105"/>
      <c r="H151" s="105"/>
      <c r="I151" s="105"/>
      <c r="J151" s="105"/>
      <c r="K151" s="115"/>
      <c r="L151" s="105"/>
      <c r="M151" s="105"/>
      <c r="Q151" s="105"/>
      <c r="R151" s="105"/>
      <c r="S151" s="105"/>
      <c r="T151" s="105"/>
      <c r="U151" s="105"/>
      <c r="V151" s="105"/>
      <c r="W151" s="105"/>
      <c r="X151" s="105"/>
    </row>
    <row r="152" spans="1:24" ht="20.25" customHeight="1" x14ac:dyDescent="0.2">
      <c r="A152" s="248"/>
      <c r="B152" s="249"/>
      <c r="C152" s="249"/>
      <c r="D152" s="249"/>
      <c r="E152" s="249"/>
      <c r="F152" s="249"/>
      <c r="G152" s="105"/>
      <c r="H152" s="105"/>
      <c r="I152" s="105"/>
      <c r="J152" s="105"/>
      <c r="K152" s="115"/>
      <c r="L152" s="105"/>
      <c r="M152" s="105"/>
      <c r="Q152" s="105"/>
      <c r="R152" s="105"/>
      <c r="S152" s="105"/>
      <c r="T152" s="105"/>
      <c r="U152" s="105"/>
      <c r="V152" s="105"/>
      <c r="W152" s="105"/>
      <c r="X152" s="105"/>
    </row>
    <row r="153" spans="1:24" ht="20.25" customHeight="1" thickBot="1" x14ac:dyDescent="0.25">
      <c r="A153" s="250"/>
      <c r="B153" s="251"/>
      <c r="C153" s="251"/>
      <c r="D153" s="251"/>
      <c r="E153" s="251"/>
      <c r="F153" s="251"/>
      <c r="G153" s="163"/>
      <c r="H153" s="163"/>
      <c r="I153" s="163"/>
      <c r="J153" s="163"/>
      <c r="K153" s="252"/>
      <c r="L153" s="163"/>
      <c r="M153" s="163"/>
      <c r="Q153" s="105"/>
      <c r="R153" s="105"/>
      <c r="S153" s="105"/>
      <c r="T153" s="105"/>
      <c r="U153" s="105"/>
      <c r="V153" s="105"/>
      <c r="W153" s="105"/>
      <c r="X153" s="105"/>
    </row>
    <row r="154" spans="1:24" ht="24.95" customHeight="1" thickBot="1" x14ac:dyDescent="0.45">
      <c r="A154" s="884" t="s">
        <v>109</v>
      </c>
      <c r="B154" s="884"/>
      <c r="C154" s="884"/>
      <c r="D154" s="884"/>
      <c r="E154" s="884"/>
      <c r="F154" s="884"/>
      <c r="G154" s="884"/>
      <c r="H154" s="884"/>
      <c r="I154" s="884"/>
      <c r="J154" s="884"/>
      <c r="K154" s="884"/>
      <c r="L154" s="885"/>
      <c r="M154" s="105"/>
      <c r="Q154" s="886" t="s">
        <v>110</v>
      </c>
      <c r="R154" s="887"/>
      <c r="S154" s="887"/>
      <c r="T154" s="887"/>
      <c r="U154" s="887"/>
      <c r="V154" s="887"/>
      <c r="W154" s="887"/>
      <c r="X154" s="887"/>
    </row>
    <row r="155" spans="1:24" ht="24.95" customHeight="1" thickBot="1" x14ac:dyDescent="0.4">
      <c r="A155" s="216" t="s">
        <v>232</v>
      </c>
      <c r="B155" s="217"/>
      <c r="C155" s="218"/>
      <c r="D155" s="218"/>
      <c r="E155" s="218"/>
      <c r="F155" s="165"/>
      <c r="G155" s="105"/>
      <c r="H155" s="105"/>
      <c r="I155" s="105"/>
      <c r="J155" s="105"/>
      <c r="K155" s="115"/>
      <c r="L155" s="105"/>
      <c r="M155" s="105"/>
      <c r="Q155" s="888"/>
      <c r="R155" s="889"/>
      <c r="S155" s="889"/>
      <c r="T155" s="889"/>
      <c r="U155" s="889"/>
      <c r="V155" s="889"/>
      <c r="W155" s="889"/>
      <c r="X155" s="889"/>
    </row>
    <row r="156" spans="1:24" ht="24.95" customHeight="1" thickBot="1" x14ac:dyDescent="0.35">
      <c r="A156" s="216"/>
      <c r="B156" s="218"/>
      <c r="C156" s="218"/>
      <c r="D156" s="218"/>
      <c r="E156" s="218"/>
      <c r="F156" s="165"/>
      <c r="G156" s="105"/>
      <c r="H156" s="105"/>
      <c r="I156" s="105"/>
      <c r="J156" s="105"/>
      <c r="K156" s="115"/>
      <c r="L156" s="105"/>
      <c r="M156" s="105"/>
      <c r="Q156" s="890" t="s">
        <v>111</v>
      </c>
      <c r="R156" s="891"/>
      <c r="S156" s="331"/>
      <c r="T156" s="890" t="s">
        <v>112</v>
      </c>
      <c r="U156" s="891"/>
      <c r="V156" s="331"/>
      <c r="W156" s="890" t="s">
        <v>113</v>
      </c>
      <c r="X156" s="891"/>
    </row>
    <row r="157" spans="1:24" ht="24.95" customHeight="1" thickBot="1" x14ac:dyDescent="0.35">
      <c r="A157" s="216" t="s">
        <v>231</v>
      </c>
      <c r="B157" s="218"/>
      <c r="C157" s="218"/>
      <c r="D157" s="218"/>
      <c r="E157" s="218"/>
      <c r="F157" s="165"/>
      <c r="G157" s="105"/>
      <c r="H157" s="105"/>
      <c r="I157" s="105"/>
      <c r="J157" s="105"/>
      <c r="K157" s="115"/>
      <c r="L157" s="105"/>
      <c r="M157" s="105"/>
      <c r="Q157" s="332" t="s">
        <v>114</v>
      </c>
      <c r="R157" s="333" t="s">
        <v>201</v>
      </c>
      <c r="S157" s="334"/>
      <c r="T157" s="335" t="s">
        <v>114</v>
      </c>
      <c r="U157" s="336" t="s">
        <v>201</v>
      </c>
      <c r="V157" s="337"/>
      <c r="W157" s="338" t="s">
        <v>114</v>
      </c>
      <c r="X157" s="339" t="s">
        <v>201</v>
      </c>
    </row>
    <row r="158" spans="1:24" ht="24.95" customHeight="1" thickBot="1" x14ac:dyDescent="0.3">
      <c r="A158" s="253"/>
      <c r="B158" s="254"/>
      <c r="C158" s="254"/>
      <c r="D158" s="254"/>
      <c r="E158" s="254"/>
      <c r="F158" s="254"/>
      <c r="G158" s="203"/>
      <c r="H158" s="203"/>
      <c r="I158" s="203"/>
      <c r="J158" s="203"/>
      <c r="K158" s="254"/>
      <c r="L158" s="204"/>
      <c r="M158" s="105"/>
      <c r="Q158" s="340">
        <v>5.74</v>
      </c>
      <c r="R158" s="341">
        <v>5</v>
      </c>
      <c r="S158" s="342"/>
      <c r="T158" s="343">
        <v>3.02</v>
      </c>
      <c r="U158" s="344">
        <v>6</v>
      </c>
      <c r="V158" s="342"/>
      <c r="W158" s="345">
        <v>3.27</v>
      </c>
      <c r="X158" s="344">
        <v>7</v>
      </c>
    </row>
    <row r="159" spans="1:24" ht="24.95" customHeight="1" thickBot="1" x14ac:dyDescent="0.3">
      <c r="A159" s="875" t="s">
        <v>115</v>
      </c>
      <c r="B159" s="875"/>
      <c r="C159" s="875"/>
      <c r="D159" s="875"/>
      <c r="E159" s="875"/>
      <c r="F159" s="875"/>
      <c r="G159" s="875"/>
      <c r="H159" s="875"/>
      <c r="I159" s="875"/>
      <c r="J159" s="875"/>
      <c r="K159" s="875"/>
      <c r="L159" s="255"/>
      <c r="M159" s="105"/>
      <c r="Q159" s="340">
        <v>2.06</v>
      </c>
      <c r="R159" s="341">
        <v>6</v>
      </c>
      <c r="S159" s="342"/>
      <c r="T159" s="343">
        <v>2.25</v>
      </c>
      <c r="U159" s="344">
        <v>7</v>
      </c>
      <c r="V159" s="342"/>
      <c r="W159" s="346">
        <v>2.42</v>
      </c>
      <c r="X159" s="347">
        <v>8</v>
      </c>
    </row>
    <row r="160" spans="1:24" ht="24.95" customHeight="1" thickBot="1" x14ac:dyDescent="0.3">
      <c r="A160" s="875" t="s">
        <v>116</v>
      </c>
      <c r="B160" s="875"/>
      <c r="C160" s="875"/>
      <c r="D160" s="875"/>
      <c r="E160" s="875"/>
      <c r="F160" s="875"/>
      <c r="G160" s="875"/>
      <c r="H160" s="875"/>
      <c r="I160" s="875"/>
      <c r="J160" s="875"/>
      <c r="K160" s="875"/>
      <c r="L160" s="875"/>
      <c r="M160" s="105"/>
      <c r="Q160" s="348">
        <v>1.78</v>
      </c>
      <c r="R160" s="349">
        <v>7</v>
      </c>
      <c r="S160" s="342"/>
      <c r="T160" s="350">
        <v>1.93</v>
      </c>
      <c r="U160" s="351">
        <v>8</v>
      </c>
      <c r="V160" s="342"/>
      <c r="W160" s="350">
        <v>2.06</v>
      </c>
      <c r="X160" s="351">
        <v>9</v>
      </c>
    </row>
    <row r="161" spans="1:24" ht="24.95" customHeight="1" thickBot="1" x14ac:dyDescent="0.3">
      <c r="A161" s="876"/>
      <c r="B161" s="876"/>
      <c r="C161" s="876"/>
      <c r="D161" s="876"/>
      <c r="E161" s="876"/>
      <c r="F161" s="876"/>
      <c r="G161" s="876"/>
      <c r="H161" s="876"/>
      <c r="I161" s="876"/>
      <c r="J161" s="876"/>
      <c r="K161" s="876"/>
      <c r="L161" s="876"/>
      <c r="M161" s="105"/>
      <c r="Q161" s="340">
        <v>1.62</v>
      </c>
      <c r="R161" s="352">
        <v>8</v>
      </c>
      <c r="S161" s="342"/>
      <c r="T161" s="343">
        <v>1.74</v>
      </c>
      <c r="U161" s="344">
        <v>9</v>
      </c>
      <c r="V161" s="342"/>
      <c r="W161" s="345">
        <v>1.85</v>
      </c>
      <c r="X161" s="344">
        <v>10</v>
      </c>
    </row>
    <row r="162" spans="1:24" ht="24.95" customHeight="1" thickBot="1" x14ac:dyDescent="0.3">
      <c r="A162" s="256"/>
      <c r="B162" s="256"/>
      <c r="C162" s="256"/>
      <c r="D162" s="256"/>
      <c r="E162" s="256"/>
      <c r="F162" s="256"/>
      <c r="G162" s="256"/>
      <c r="H162" s="256"/>
      <c r="I162" s="105"/>
      <c r="J162" s="105"/>
      <c r="K162" s="115"/>
      <c r="L162" s="105"/>
      <c r="M162" s="105"/>
      <c r="Q162" s="340">
        <v>1.51</v>
      </c>
      <c r="R162" s="341">
        <v>9</v>
      </c>
      <c r="S162" s="342"/>
      <c r="T162" s="343">
        <v>1.62</v>
      </c>
      <c r="U162" s="344">
        <v>10</v>
      </c>
      <c r="V162" s="342"/>
      <c r="W162" s="346">
        <v>1.71</v>
      </c>
      <c r="X162" s="347">
        <v>11</v>
      </c>
    </row>
    <row r="163" spans="1:24" ht="24.95" customHeight="1" thickBot="1" x14ac:dyDescent="0.3">
      <c r="A163" s="257" t="s">
        <v>227</v>
      </c>
      <c r="B163" s="869">
        <f>B20</f>
        <v>4.0999999999999996</v>
      </c>
      <c r="C163" s="870"/>
      <c r="D163" s="870"/>
      <c r="E163" s="870"/>
      <c r="F163" s="877"/>
      <c r="G163" s="256"/>
      <c r="H163" s="256"/>
      <c r="I163" s="168"/>
      <c r="J163" s="258"/>
      <c r="K163" s="115"/>
      <c r="L163" s="105"/>
      <c r="M163" s="105"/>
      <c r="Q163" s="340">
        <v>1.43</v>
      </c>
      <c r="R163" s="341">
        <v>10</v>
      </c>
      <c r="S163" s="342"/>
      <c r="T163" s="343">
        <v>1.52</v>
      </c>
      <c r="U163" s="344">
        <v>11</v>
      </c>
      <c r="V163" s="342"/>
      <c r="W163" s="350">
        <v>1.61</v>
      </c>
      <c r="X163" s="351">
        <v>12</v>
      </c>
    </row>
    <row r="164" spans="1:24" ht="24.95" customHeight="1" thickBot="1" x14ac:dyDescent="0.3">
      <c r="A164" s="259" t="s">
        <v>228</v>
      </c>
      <c r="B164" s="852">
        <f>B79</f>
        <v>1.7038733066390741</v>
      </c>
      <c r="C164" s="853"/>
      <c r="D164" s="853"/>
      <c r="E164" s="853"/>
      <c r="F164" s="854"/>
      <c r="G164" s="105"/>
      <c r="H164" s="168"/>
      <c r="I164" s="168"/>
      <c r="J164" s="105"/>
      <c r="K164" s="115"/>
      <c r="L164" s="105"/>
      <c r="M164" s="105"/>
      <c r="Q164" s="340">
        <v>1.37</v>
      </c>
      <c r="R164" s="341">
        <v>11</v>
      </c>
      <c r="S164" s="342"/>
      <c r="T164" s="350">
        <v>1.46</v>
      </c>
      <c r="U164" s="351">
        <v>12</v>
      </c>
      <c r="V164" s="342"/>
      <c r="W164" s="345">
        <v>1.54</v>
      </c>
      <c r="X164" s="344">
        <v>13</v>
      </c>
    </row>
    <row r="165" spans="1:24" ht="24.95" customHeight="1" thickBot="1" x14ac:dyDescent="0.3">
      <c r="A165" s="260"/>
      <c r="B165" s="261"/>
      <c r="C165" s="261"/>
      <c r="D165" s="261"/>
      <c r="E165" s="261"/>
      <c r="F165" s="261"/>
      <c r="G165" s="105"/>
      <c r="H165" s="105"/>
      <c r="I165" s="168"/>
      <c r="J165" s="105"/>
      <c r="K165" s="115"/>
      <c r="L165" s="105"/>
      <c r="M165" s="105"/>
      <c r="Q165" s="353">
        <v>1.32</v>
      </c>
      <c r="R165" s="354">
        <v>12</v>
      </c>
      <c r="S165" s="342"/>
      <c r="T165" s="343">
        <v>1.4</v>
      </c>
      <c r="U165" s="344">
        <v>13</v>
      </c>
      <c r="V165" s="342"/>
      <c r="W165" s="350">
        <v>1.48</v>
      </c>
      <c r="X165" s="351">
        <v>14</v>
      </c>
    </row>
    <row r="166" spans="1:24" ht="24.95" customHeight="1" thickBot="1" x14ac:dyDescent="0.3">
      <c r="A166" s="878" t="s">
        <v>229</v>
      </c>
      <c r="B166" s="879" t="str">
        <f>IF(B164 &lt; B163," % CVWL calculado &lt;  % CVWL definido:                                                                            Verificación Aceptada. No requiere análisis extendido con uso de                                 Factor UVL", "% CVWL calculado &gt; % CVWL definido:                                                                                        Verificar diferencia utilizando Factor UVL")</f>
        <v xml:space="preserve"> % CVWL calculado &lt;  % CVWL definido:                                                                            Verificación Aceptada. No requiere análisis extendido con uso de                                 Factor UVL</v>
      </c>
      <c r="C166" s="879"/>
      <c r="D166" s="879"/>
      <c r="E166" s="879"/>
      <c r="F166" s="880"/>
      <c r="G166" s="105"/>
      <c r="H166" s="105"/>
      <c r="I166" s="105"/>
      <c r="J166" s="105"/>
      <c r="K166" s="115"/>
      <c r="L166" s="105"/>
      <c r="M166" s="105"/>
      <c r="Q166" s="348">
        <v>1.28</v>
      </c>
      <c r="R166" s="349">
        <v>13</v>
      </c>
      <c r="S166" s="342"/>
      <c r="T166" s="350">
        <v>1.35</v>
      </c>
      <c r="U166" s="351">
        <v>14</v>
      </c>
      <c r="V166" s="342"/>
      <c r="W166" s="345">
        <v>1.42</v>
      </c>
      <c r="X166" s="344">
        <v>15</v>
      </c>
    </row>
    <row r="167" spans="1:24" ht="24.95" customHeight="1" thickBot="1" x14ac:dyDescent="0.3">
      <c r="A167" s="861"/>
      <c r="B167" s="849"/>
      <c r="C167" s="849"/>
      <c r="D167" s="849"/>
      <c r="E167" s="849"/>
      <c r="F167" s="881"/>
      <c r="G167" s="105"/>
      <c r="H167" s="105"/>
      <c r="I167" s="105"/>
      <c r="J167" s="105"/>
      <c r="K167" s="115"/>
      <c r="L167" s="105"/>
      <c r="M167" s="105"/>
      <c r="Q167" s="340">
        <v>1.24</v>
      </c>
      <c r="R167" s="341">
        <v>14</v>
      </c>
      <c r="S167" s="342"/>
      <c r="T167" s="343">
        <v>1.32</v>
      </c>
      <c r="U167" s="344">
        <v>15</v>
      </c>
      <c r="V167" s="342"/>
      <c r="W167" s="346">
        <v>1.38</v>
      </c>
      <c r="X167" s="347">
        <v>16</v>
      </c>
    </row>
    <row r="168" spans="1:24" ht="24.95" customHeight="1" thickBot="1" x14ac:dyDescent="0.3">
      <c r="A168" s="862"/>
      <c r="B168" s="882"/>
      <c r="C168" s="882"/>
      <c r="D168" s="882"/>
      <c r="E168" s="882"/>
      <c r="F168" s="883"/>
      <c r="G168" s="105"/>
      <c r="H168" s="105"/>
      <c r="I168" s="105"/>
      <c r="J168" s="105"/>
      <c r="K168" s="115"/>
      <c r="L168" s="105"/>
      <c r="M168" s="105"/>
      <c r="Q168" s="348">
        <v>1.21</v>
      </c>
      <c r="R168" s="349">
        <v>15</v>
      </c>
      <c r="S168" s="342"/>
      <c r="T168" s="350">
        <v>1.28</v>
      </c>
      <c r="U168" s="351">
        <v>16</v>
      </c>
      <c r="V168" s="342"/>
      <c r="W168" s="350">
        <v>1.35</v>
      </c>
      <c r="X168" s="351">
        <v>17</v>
      </c>
    </row>
    <row r="169" spans="1:24" ht="24.95" customHeight="1" thickBot="1" x14ac:dyDescent="0.3">
      <c r="A169" s="243"/>
      <c r="B169" s="230"/>
      <c r="C169" s="230"/>
      <c r="D169" s="230"/>
      <c r="E169" s="230"/>
      <c r="F169" s="230"/>
      <c r="G169" s="105"/>
      <c r="H169" s="105"/>
      <c r="I169" s="105"/>
      <c r="J169" s="105"/>
      <c r="K169" s="115"/>
      <c r="L169" s="105"/>
      <c r="M169" s="105"/>
      <c r="Q169" s="340">
        <v>1.19</v>
      </c>
      <c r="R169" s="352">
        <v>16</v>
      </c>
      <c r="S169" s="355"/>
      <c r="T169" s="345">
        <v>1.25</v>
      </c>
      <c r="U169" s="344">
        <v>17</v>
      </c>
      <c r="V169" s="342"/>
      <c r="W169" s="345">
        <v>1.31</v>
      </c>
      <c r="X169" s="344">
        <v>18</v>
      </c>
    </row>
    <row r="170" spans="1:24" ht="24.95" customHeight="1" thickBot="1" x14ac:dyDescent="0.3">
      <c r="A170" s="858" t="s">
        <v>117</v>
      </c>
      <c r="B170" s="858"/>
      <c r="C170" s="858"/>
      <c r="D170" s="858"/>
      <c r="E170" s="858"/>
      <c r="F170" s="858"/>
      <c r="G170" s="105"/>
      <c r="H170" s="105"/>
      <c r="I170" s="105"/>
      <c r="J170" s="105"/>
      <c r="K170" s="115"/>
      <c r="L170" s="105"/>
      <c r="M170" s="105"/>
      <c r="Q170" s="340">
        <v>1.1599999999999999</v>
      </c>
      <c r="R170" s="341">
        <v>17</v>
      </c>
      <c r="S170" s="342"/>
      <c r="T170" s="350">
        <v>1.23</v>
      </c>
      <c r="U170" s="351">
        <v>18</v>
      </c>
      <c r="V170" s="342"/>
      <c r="W170" s="346">
        <v>1.29</v>
      </c>
      <c r="X170" s="347">
        <v>19</v>
      </c>
    </row>
    <row r="171" spans="1:24" ht="24.95" customHeight="1" thickBot="1" x14ac:dyDescent="0.3">
      <c r="A171" s="858" t="s">
        <v>118</v>
      </c>
      <c r="B171" s="858"/>
      <c r="C171" s="859"/>
      <c r="D171" s="859"/>
      <c r="E171" s="859"/>
      <c r="F171" s="859"/>
      <c r="G171" s="105"/>
      <c r="H171" s="105"/>
      <c r="I171" s="105"/>
      <c r="J171" s="105"/>
      <c r="K171" s="115"/>
      <c r="L171" s="105"/>
      <c r="M171" s="105"/>
      <c r="Q171" s="348">
        <v>1.1399999999999999</v>
      </c>
      <c r="R171" s="349">
        <v>18</v>
      </c>
      <c r="S171" s="342"/>
      <c r="T171" s="343">
        <v>1.2</v>
      </c>
      <c r="U171" s="344">
        <v>19</v>
      </c>
      <c r="V171" s="342"/>
      <c r="W171" s="346">
        <v>1.26</v>
      </c>
      <c r="X171" s="347">
        <v>20</v>
      </c>
    </row>
    <row r="172" spans="1:24" ht="24.95" customHeight="1" thickBot="1" x14ac:dyDescent="0.3">
      <c r="A172" s="257" t="s">
        <v>119</v>
      </c>
      <c r="B172" s="262">
        <f>B19</f>
        <v>3</v>
      </c>
      <c r="C172" s="232"/>
      <c r="D172" s="232"/>
      <c r="E172" s="232"/>
      <c r="F172" s="230"/>
      <c r="G172" s="105"/>
      <c r="H172" s="105"/>
      <c r="I172" s="105"/>
      <c r="J172" s="105"/>
      <c r="K172" s="115"/>
      <c r="L172" s="105"/>
      <c r="M172" s="105"/>
      <c r="Q172" s="340">
        <v>1.1200000000000001</v>
      </c>
      <c r="R172" s="341">
        <v>19</v>
      </c>
      <c r="S172" s="342"/>
      <c r="T172" s="343">
        <v>1.18</v>
      </c>
      <c r="U172" s="344">
        <v>20</v>
      </c>
      <c r="V172" s="342"/>
      <c r="W172" s="346">
        <v>1.24</v>
      </c>
      <c r="X172" s="347">
        <v>21</v>
      </c>
    </row>
    <row r="173" spans="1:24" ht="24.95" customHeight="1" thickBot="1" x14ac:dyDescent="0.3">
      <c r="A173" s="263" t="s">
        <v>120</v>
      </c>
      <c r="B173" s="264">
        <f>B20</f>
        <v>4.0999999999999996</v>
      </c>
      <c r="C173" s="232"/>
      <c r="D173" s="232"/>
      <c r="E173" s="232"/>
      <c r="F173" s="230"/>
      <c r="G173" s="105"/>
      <c r="H173" s="105"/>
      <c r="I173" s="105"/>
      <c r="J173" s="105"/>
      <c r="K173" s="115"/>
      <c r="L173" s="105"/>
      <c r="M173" s="105"/>
      <c r="Q173" s="340">
        <v>1.1000000000000001</v>
      </c>
      <c r="R173" s="352">
        <v>20</v>
      </c>
      <c r="S173" s="342"/>
      <c r="T173" s="350">
        <v>1.1599999999999999</v>
      </c>
      <c r="U173" s="351">
        <v>21</v>
      </c>
      <c r="V173" s="342"/>
      <c r="W173" s="346">
        <v>1.22</v>
      </c>
      <c r="X173" s="347">
        <v>22</v>
      </c>
    </row>
    <row r="174" spans="1:24" ht="24.95" customHeight="1" thickBot="1" x14ac:dyDescent="0.3">
      <c r="A174" s="257" t="s">
        <v>121</v>
      </c>
      <c r="B174" s="262">
        <f>B173/B172</f>
        <v>1.3666666666666665</v>
      </c>
      <c r="C174" s="232"/>
      <c r="D174" s="232"/>
      <c r="E174" s="232"/>
      <c r="F174" s="230"/>
      <c r="G174" s="105"/>
      <c r="H174" s="105"/>
      <c r="I174" s="105"/>
      <c r="J174" s="105"/>
      <c r="K174" s="115"/>
      <c r="L174" s="105"/>
      <c r="M174" s="105"/>
      <c r="Q174" s="348">
        <v>1.08</v>
      </c>
      <c r="R174" s="349">
        <v>21</v>
      </c>
      <c r="S174" s="342"/>
      <c r="T174" s="343">
        <v>1.1399999999999999</v>
      </c>
      <c r="U174" s="344">
        <v>22</v>
      </c>
      <c r="V174" s="342"/>
      <c r="W174" s="346">
        <v>1.2</v>
      </c>
      <c r="X174" s="347">
        <v>23</v>
      </c>
    </row>
    <row r="175" spans="1:24" ht="24.95" customHeight="1" thickBot="1" x14ac:dyDescent="0.3">
      <c r="A175" s="263" t="s">
        <v>122</v>
      </c>
      <c r="B175" s="422">
        <v>11</v>
      </c>
      <c r="C175" s="232"/>
      <c r="D175" s="232"/>
      <c r="E175" s="232"/>
      <c r="F175" s="230"/>
      <c r="G175" s="105"/>
      <c r="H175" s="105"/>
      <c r="I175" s="105"/>
      <c r="J175" s="105"/>
      <c r="K175" s="115"/>
      <c r="L175" s="105"/>
      <c r="M175" s="105"/>
      <c r="Q175" s="356">
        <v>1.05</v>
      </c>
      <c r="R175" s="357">
        <v>22</v>
      </c>
      <c r="S175" s="342"/>
      <c r="T175" s="350">
        <v>1.1200000000000001</v>
      </c>
      <c r="U175" s="351">
        <v>23</v>
      </c>
      <c r="V175" s="342"/>
      <c r="W175" s="346">
        <v>1.18</v>
      </c>
      <c r="X175" s="347">
        <v>24</v>
      </c>
    </row>
    <row r="176" spans="1:24" ht="24.95" customHeight="1" thickBot="1" x14ac:dyDescent="0.3">
      <c r="A176" s="257" t="s">
        <v>100</v>
      </c>
      <c r="B176" s="265">
        <f>VLOOKUP($B$175,$Q$117:$W$146,4,TRUE)</f>
        <v>1.45</v>
      </c>
      <c r="C176" s="266"/>
      <c r="D176" s="232"/>
      <c r="E176" s="232"/>
      <c r="F176" s="230"/>
      <c r="G176" s="105"/>
      <c r="H176" s="105"/>
      <c r="I176" s="105"/>
      <c r="J176" s="105"/>
      <c r="K176" s="115"/>
      <c r="L176" s="105"/>
      <c r="M176" s="105"/>
      <c r="Q176" s="340">
        <v>1.03</v>
      </c>
      <c r="R176" s="341">
        <v>23</v>
      </c>
      <c r="S176" s="358"/>
      <c r="T176" s="343">
        <v>1.1100000000000001</v>
      </c>
      <c r="U176" s="344">
        <v>24</v>
      </c>
      <c r="V176" s="342"/>
      <c r="W176" s="346">
        <v>1.1599999999999999</v>
      </c>
      <c r="X176" s="347">
        <v>25</v>
      </c>
    </row>
    <row r="177" spans="1:24" ht="24.95" customHeight="1" thickBot="1" x14ac:dyDescent="0.3">
      <c r="A177" s="263" t="s">
        <v>101</v>
      </c>
      <c r="B177" s="267">
        <f>VLOOKUP($B$175,$Q$117:$W$146,3,TRUE)</f>
        <v>1.41</v>
      </c>
      <c r="C177" s="232"/>
      <c r="D177" s="232"/>
      <c r="E177" s="232"/>
      <c r="F177" s="230"/>
      <c r="G177" s="105"/>
      <c r="H177" s="105"/>
      <c r="I177" s="105"/>
      <c r="J177" s="105"/>
      <c r="K177" s="115"/>
      <c r="L177" s="105"/>
      <c r="M177" s="105"/>
      <c r="Q177" s="353">
        <v>1</v>
      </c>
      <c r="R177" s="354">
        <v>24</v>
      </c>
      <c r="S177" s="359"/>
      <c r="T177" s="343">
        <v>1.0900000000000001</v>
      </c>
      <c r="U177" s="344">
        <v>25</v>
      </c>
      <c r="V177" s="342"/>
      <c r="W177" s="350">
        <v>1.1399999999999999</v>
      </c>
      <c r="X177" s="351">
        <v>26</v>
      </c>
    </row>
    <row r="178" spans="1:24" ht="24.95" customHeight="1" thickBot="1" x14ac:dyDescent="0.3">
      <c r="A178" s="257" t="s">
        <v>123</v>
      </c>
      <c r="B178" s="265">
        <f>VLOOKUP($B$175,$Q$117:$W$146,2,TRUE)</f>
        <v>1.34</v>
      </c>
      <c r="C178" s="232"/>
      <c r="D178" s="232"/>
      <c r="E178" s="232"/>
      <c r="F178" s="230"/>
      <c r="G178" s="105"/>
      <c r="H178" s="105"/>
      <c r="I178" s="105"/>
      <c r="J178" s="105"/>
      <c r="K178" s="115"/>
      <c r="L178" s="105"/>
      <c r="M178" s="105"/>
      <c r="Q178" s="360"/>
      <c r="R178" s="361"/>
      <c r="S178" s="342"/>
      <c r="T178" s="362">
        <v>1.07</v>
      </c>
      <c r="U178" s="363">
        <v>26</v>
      </c>
      <c r="V178" s="342"/>
      <c r="W178" s="345">
        <v>1.1299999999999999</v>
      </c>
      <c r="X178" s="344">
        <v>27</v>
      </c>
    </row>
    <row r="179" spans="1:24" ht="24.95" customHeight="1" thickBot="1" x14ac:dyDescent="0.3">
      <c r="A179" s="237" t="s">
        <v>124</v>
      </c>
      <c r="B179" s="268">
        <f>B20</f>
        <v>4.0999999999999996</v>
      </c>
      <c r="C179" s="232"/>
      <c r="D179" s="232"/>
      <c r="E179" s="232"/>
      <c r="F179" s="230"/>
      <c r="G179" s="105"/>
      <c r="H179" s="105"/>
      <c r="I179" s="105"/>
      <c r="J179" s="105"/>
      <c r="K179" s="115"/>
      <c r="L179" s="105"/>
      <c r="M179" s="105"/>
      <c r="Q179" s="364"/>
      <c r="R179" s="364"/>
      <c r="S179" s="342"/>
      <c r="T179" s="343">
        <v>1.05</v>
      </c>
      <c r="U179" s="344">
        <v>27</v>
      </c>
      <c r="V179" s="342"/>
      <c r="W179" s="346">
        <v>1.1100000000000001</v>
      </c>
      <c r="X179" s="347">
        <v>28</v>
      </c>
    </row>
    <row r="180" spans="1:24" ht="24.95" customHeight="1" thickBot="1" x14ac:dyDescent="0.3">
      <c r="A180" s="860" t="s">
        <v>230</v>
      </c>
      <c r="B180" s="262">
        <f>$B$179*B176</f>
        <v>5.9449999999999994</v>
      </c>
      <c r="C180" s="863" t="s">
        <v>102</v>
      </c>
      <c r="D180" s="864"/>
      <c r="E180" s="865"/>
      <c r="F180" s="230"/>
      <c r="G180" s="105"/>
      <c r="H180" s="105"/>
      <c r="I180" s="105"/>
      <c r="J180" s="105"/>
      <c r="K180" s="115"/>
      <c r="L180" s="105"/>
      <c r="M180" s="105"/>
      <c r="Q180" s="364"/>
      <c r="R180" s="364"/>
      <c r="S180" s="342"/>
      <c r="T180" s="343">
        <v>1.03</v>
      </c>
      <c r="U180" s="344">
        <v>28</v>
      </c>
      <c r="V180" s="342"/>
      <c r="W180" s="346">
        <v>1.1000000000000001</v>
      </c>
      <c r="X180" s="347">
        <v>29</v>
      </c>
    </row>
    <row r="181" spans="1:24" ht="24.95" customHeight="1" thickBot="1" x14ac:dyDescent="0.3">
      <c r="A181" s="861"/>
      <c r="B181" s="262">
        <f t="shared" ref="B181:B182" si="15">$B$179*B177</f>
        <v>5.7809999999999988</v>
      </c>
      <c r="C181" s="863" t="s">
        <v>103</v>
      </c>
      <c r="D181" s="864"/>
      <c r="E181" s="865"/>
      <c r="F181" s="230"/>
      <c r="G181" s="105"/>
      <c r="H181" s="105"/>
      <c r="I181" s="105"/>
      <c r="J181" s="105"/>
      <c r="K181" s="115"/>
      <c r="L181" s="105"/>
      <c r="M181" s="105"/>
      <c r="Q181" s="364"/>
      <c r="R181" s="364"/>
      <c r="S181" s="342"/>
      <c r="T181" s="343">
        <v>1</v>
      </c>
      <c r="U181" s="344">
        <v>29</v>
      </c>
      <c r="V181" s="342"/>
      <c r="W181" s="346">
        <v>1.08</v>
      </c>
      <c r="X181" s="347">
        <v>30</v>
      </c>
    </row>
    <row r="182" spans="1:24" ht="24.95" customHeight="1" thickBot="1" x14ac:dyDescent="0.3">
      <c r="A182" s="862"/>
      <c r="B182" s="269">
        <f t="shared" si="15"/>
        <v>5.4939999999999998</v>
      </c>
      <c r="C182" s="866" t="s">
        <v>104</v>
      </c>
      <c r="D182" s="867"/>
      <c r="E182" s="868"/>
      <c r="F182" s="230"/>
      <c r="G182" s="105"/>
      <c r="H182" s="105"/>
      <c r="I182" s="105"/>
      <c r="J182" s="105"/>
      <c r="K182" s="115"/>
      <c r="L182" s="105"/>
      <c r="M182" s="105"/>
      <c r="Q182" s="364"/>
      <c r="R182" s="364"/>
      <c r="S182" s="364"/>
      <c r="T182" s="342"/>
      <c r="U182" s="342"/>
      <c r="V182" s="342"/>
      <c r="W182" s="346">
        <v>1.07</v>
      </c>
      <c r="X182" s="347">
        <v>31</v>
      </c>
    </row>
    <row r="183" spans="1:24" ht="24.95" customHeight="1" thickBot="1" x14ac:dyDescent="0.3">
      <c r="A183" s="243"/>
      <c r="B183" s="230"/>
      <c r="C183" s="230"/>
      <c r="D183" s="230"/>
      <c r="E183" s="230"/>
      <c r="F183" s="230"/>
      <c r="G183" s="105"/>
      <c r="H183" s="105"/>
      <c r="I183" s="105"/>
      <c r="J183" s="105"/>
      <c r="K183" s="115"/>
      <c r="L183" s="105"/>
      <c r="M183" s="105"/>
      <c r="Q183" s="364"/>
      <c r="R183" s="364"/>
      <c r="S183" s="364"/>
      <c r="T183" s="364"/>
      <c r="U183" s="364"/>
      <c r="V183" s="342"/>
      <c r="W183" s="346">
        <v>1.05</v>
      </c>
      <c r="X183" s="347">
        <v>32</v>
      </c>
    </row>
    <row r="184" spans="1:24" ht="24.95" customHeight="1" thickBot="1" x14ac:dyDescent="0.3">
      <c r="A184" s="850" t="s">
        <v>125</v>
      </c>
      <c r="B184" s="850"/>
      <c r="C184" s="850"/>
      <c r="D184" s="850"/>
      <c r="E184" s="850"/>
      <c r="F184" s="850"/>
      <c r="G184" s="105"/>
      <c r="H184" s="105"/>
      <c r="I184" s="105"/>
      <c r="J184" s="105"/>
      <c r="K184" s="115"/>
      <c r="L184" s="105"/>
      <c r="M184" s="105"/>
      <c r="Q184" s="364"/>
      <c r="R184" s="364"/>
      <c r="S184" s="364"/>
      <c r="T184" s="364"/>
      <c r="U184" s="364"/>
      <c r="V184" s="342"/>
      <c r="W184" s="346">
        <v>1.03</v>
      </c>
      <c r="X184" s="347">
        <v>33</v>
      </c>
    </row>
    <row r="185" spans="1:24" ht="24.95" customHeight="1" thickBot="1" x14ac:dyDescent="0.3">
      <c r="A185" s="850"/>
      <c r="B185" s="850"/>
      <c r="C185" s="850"/>
      <c r="D185" s="850"/>
      <c r="E185" s="850"/>
      <c r="F185" s="850"/>
      <c r="G185" s="105"/>
      <c r="H185" s="105"/>
      <c r="I185" s="105"/>
      <c r="J185" s="105"/>
      <c r="K185" s="115"/>
      <c r="L185" s="105"/>
      <c r="M185" s="105"/>
      <c r="Q185" s="364"/>
      <c r="R185" s="364"/>
      <c r="S185" s="364"/>
      <c r="T185" s="364"/>
      <c r="U185" s="364"/>
      <c r="V185" s="342"/>
      <c r="W185" s="345">
        <v>1</v>
      </c>
      <c r="X185" s="344">
        <v>34</v>
      </c>
    </row>
    <row r="186" spans="1:24" ht="24.95" customHeight="1" thickBot="1" x14ac:dyDescent="0.25">
      <c r="A186" s="270"/>
      <c r="B186" s="243"/>
      <c r="C186" s="243"/>
      <c r="D186" s="243"/>
      <c r="E186" s="243"/>
      <c r="F186" s="243"/>
      <c r="G186" s="166"/>
      <c r="H186" s="166"/>
      <c r="I186" s="166"/>
      <c r="J186" s="163"/>
      <c r="K186" s="115"/>
      <c r="L186" s="105"/>
      <c r="M186" s="105"/>
    </row>
    <row r="187" spans="1:24" ht="24.95" customHeight="1" x14ac:dyDescent="0.2">
      <c r="A187" s="257" t="s">
        <v>126</v>
      </c>
      <c r="B187" s="869">
        <f>B180</f>
        <v>5.9449999999999994</v>
      </c>
      <c r="C187" s="870"/>
      <c r="D187" s="870"/>
      <c r="E187" s="870"/>
      <c r="F187" s="871"/>
      <c r="G187" s="872" t="s">
        <v>102</v>
      </c>
      <c r="H187" s="873"/>
      <c r="I187" s="874"/>
      <c r="J187" s="105"/>
      <c r="K187" s="115"/>
      <c r="L187" s="105"/>
      <c r="M187" s="105"/>
    </row>
    <row r="188" spans="1:24" ht="24.95" customHeight="1" thickBot="1" x14ac:dyDescent="0.25">
      <c r="A188" s="259" t="s">
        <v>127</v>
      </c>
      <c r="B188" s="852">
        <f>B79</f>
        <v>1.7038733066390741</v>
      </c>
      <c r="C188" s="853"/>
      <c r="D188" s="853"/>
      <c r="E188" s="853"/>
      <c r="F188" s="854"/>
      <c r="G188" s="105"/>
      <c r="H188" s="105"/>
      <c r="I188" s="211"/>
      <c r="J188" s="105"/>
      <c r="K188" s="115"/>
      <c r="L188" s="105"/>
      <c r="M188" s="105"/>
    </row>
    <row r="189" spans="1:24" ht="24.95" customHeight="1" thickBot="1" x14ac:dyDescent="0.3">
      <c r="A189" s="216"/>
      <c r="B189" s="165"/>
      <c r="C189" s="165"/>
      <c r="D189" s="165"/>
      <c r="E189" s="165"/>
      <c r="F189" s="165"/>
      <c r="G189" s="105"/>
      <c r="H189" s="105"/>
      <c r="I189" s="105"/>
      <c r="J189" s="105"/>
      <c r="K189" s="115"/>
      <c r="L189" s="105"/>
      <c r="M189" s="105"/>
    </row>
    <row r="190" spans="1:24" ht="24.95" customHeight="1" x14ac:dyDescent="0.2">
      <c r="A190" s="855" t="s">
        <v>128</v>
      </c>
      <c r="B190" s="826" t="str">
        <f>IF(B188 &lt; B187," % CVWL calculado &lt; % CVWL definido:                                                                            Verificación Aceptada", "% CVWL calculado &gt;  % CVWL definido, considerando Factor UVL.                                     Reevalúe el experimento de verificación y/o contacte al Proveedor")</f>
        <v xml:space="preserve"> % CVWL calculado &lt; % CVWL definido:                                                                            Verificación Aceptada</v>
      </c>
      <c r="C190" s="827"/>
      <c r="D190" s="827"/>
      <c r="E190" s="827"/>
      <c r="F190" s="828"/>
      <c r="G190" s="105"/>
      <c r="H190" s="105"/>
      <c r="I190" s="105"/>
      <c r="J190" s="105"/>
      <c r="K190" s="115"/>
      <c r="L190" s="105"/>
      <c r="M190" s="105"/>
    </row>
    <row r="191" spans="1:24" ht="24.95" customHeight="1" x14ac:dyDescent="0.2">
      <c r="A191" s="856"/>
      <c r="B191" s="829"/>
      <c r="C191" s="830"/>
      <c r="D191" s="830"/>
      <c r="E191" s="830"/>
      <c r="F191" s="831"/>
      <c r="G191" s="166"/>
      <c r="H191" s="105"/>
      <c r="I191" s="105"/>
      <c r="J191" s="105"/>
      <c r="K191" s="115"/>
      <c r="L191" s="105"/>
      <c r="M191" s="105"/>
    </row>
    <row r="192" spans="1:24" ht="24.95" customHeight="1" thickBot="1" x14ac:dyDescent="0.25">
      <c r="A192" s="857"/>
      <c r="B192" s="832"/>
      <c r="C192" s="833"/>
      <c r="D192" s="833"/>
      <c r="E192" s="833"/>
      <c r="F192" s="834"/>
      <c r="G192" s="105"/>
      <c r="H192" s="105"/>
      <c r="I192" s="105"/>
      <c r="J192" s="105"/>
      <c r="K192" s="115"/>
      <c r="L192" s="105"/>
      <c r="M192" s="105"/>
    </row>
    <row r="193" spans="1:13" ht="20.25" customHeight="1" x14ac:dyDescent="0.2">
      <c r="A193" s="248"/>
      <c r="B193" s="249"/>
      <c r="C193" s="249"/>
      <c r="D193" s="249"/>
      <c r="E193" s="249"/>
      <c r="F193" s="249"/>
      <c r="G193" s="105"/>
      <c r="H193" s="105"/>
      <c r="I193" s="105"/>
      <c r="J193" s="105"/>
      <c r="K193" s="115"/>
      <c r="L193" s="105"/>
      <c r="M193" s="105"/>
    </row>
    <row r="194" spans="1:13" x14ac:dyDescent="0.2">
      <c r="A194" s="105"/>
      <c r="B194" s="165"/>
      <c r="C194" s="165"/>
      <c r="D194" s="165"/>
      <c r="E194" s="165"/>
      <c r="F194" s="165"/>
      <c r="G194" s="105"/>
      <c r="H194" s="105"/>
      <c r="I194" s="105"/>
      <c r="J194" s="105"/>
      <c r="K194" s="115"/>
      <c r="L194" s="105"/>
      <c r="M194" s="105"/>
    </row>
  </sheetData>
  <sheetProtection algorithmName="SHA-512" hashValue="AGBPCYmgK9HzuVQS/85wCOW0Yi0lKcW8kXfBOnCwhWZCH3tqMbtiLGscQj4DFJlRiyf9pY8QGNFQwIh69KJ8pw==" saltValue="HcBsPeyZ4iLFIdlJrz4oTw==" spinCount="100000" sheet="1" objects="1" scenarios="1"/>
  <mergeCells count="235">
    <mergeCell ref="E14:F14"/>
    <mergeCell ref="E15:F15"/>
    <mergeCell ref="E16:F16"/>
    <mergeCell ref="E17:F17"/>
    <mergeCell ref="E18:F18"/>
    <mergeCell ref="E19:F19"/>
    <mergeCell ref="I17:L17"/>
    <mergeCell ref="I18:L18"/>
    <mergeCell ref="I14:J14"/>
    <mergeCell ref="I15:J15"/>
    <mergeCell ref="I16:J16"/>
    <mergeCell ref="K14:M14"/>
    <mergeCell ref="K15:M15"/>
    <mergeCell ref="K16:M16"/>
    <mergeCell ref="G87:G88"/>
    <mergeCell ref="G89:G90"/>
    <mergeCell ref="G91:G92"/>
    <mergeCell ref="G93:G94"/>
    <mergeCell ref="I87:I88"/>
    <mergeCell ref="I89:I90"/>
    <mergeCell ref="I91:I92"/>
    <mergeCell ref="I93:I94"/>
    <mergeCell ref="H87:H88"/>
    <mergeCell ref="H89:H90"/>
    <mergeCell ref="H91:H92"/>
    <mergeCell ref="Q76:U77"/>
    <mergeCell ref="P76:P77"/>
    <mergeCell ref="P78:P79"/>
    <mergeCell ref="Q78:U79"/>
    <mergeCell ref="Q68:U68"/>
    <mergeCell ref="Q69:U69"/>
    <mergeCell ref="Q70:U70"/>
    <mergeCell ref="G84:G85"/>
    <mergeCell ref="H84:H85"/>
    <mergeCell ref="I84:I85"/>
    <mergeCell ref="Q74:U74"/>
    <mergeCell ref="Q73:U73"/>
    <mergeCell ref="H93:H94"/>
    <mergeCell ref="G146:I146"/>
    <mergeCell ref="B147:F147"/>
    <mergeCell ref="B96:E96"/>
    <mergeCell ref="B97:E97"/>
    <mergeCell ref="B98:E98"/>
    <mergeCell ref="B99:E99"/>
    <mergeCell ref="A104:E104"/>
    <mergeCell ref="A105:E105"/>
    <mergeCell ref="A106:E106"/>
    <mergeCell ref="G95:G96"/>
    <mergeCell ref="H95:H96"/>
    <mergeCell ref="I95:I96"/>
    <mergeCell ref="A114:L114"/>
    <mergeCell ref="A108:A109"/>
    <mergeCell ref="D108:G108"/>
    <mergeCell ref="H108:K108"/>
    <mergeCell ref="D109:E109"/>
    <mergeCell ref="F109:G109"/>
    <mergeCell ref="H109:I109"/>
    <mergeCell ref="J109:K109"/>
    <mergeCell ref="A97:A98"/>
    <mergeCell ref="B101:E101"/>
    <mergeCell ref="B108:C109"/>
    <mergeCell ref="G187:I187"/>
    <mergeCell ref="A160:L161"/>
    <mergeCell ref="B163:F163"/>
    <mergeCell ref="B164:F164"/>
    <mergeCell ref="A166:A168"/>
    <mergeCell ref="B166:F168"/>
    <mergeCell ref="A170:F170"/>
    <mergeCell ref="A154:L154"/>
    <mergeCell ref="Q154:X155"/>
    <mergeCell ref="Q156:R156"/>
    <mergeCell ref="T156:U156"/>
    <mergeCell ref="W156:X156"/>
    <mergeCell ref="A159:K159"/>
    <mergeCell ref="B188:F188"/>
    <mergeCell ref="A190:A192"/>
    <mergeCell ref="B190:F192"/>
    <mergeCell ref="A171:F171"/>
    <mergeCell ref="A180:A182"/>
    <mergeCell ref="C180:E180"/>
    <mergeCell ref="C181:E181"/>
    <mergeCell ref="C182:E182"/>
    <mergeCell ref="A184:F185"/>
    <mergeCell ref="B187:F187"/>
    <mergeCell ref="A149:A151"/>
    <mergeCell ref="B149:F151"/>
    <mergeCell ref="A126:A128"/>
    <mergeCell ref="A130:F130"/>
    <mergeCell ref="A131:F131"/>
    <mergeCell ref="A139:A141"/>
    <mergeCell ref="C139:E139"/>
    <mergeCell ref="C140:E140"/>
    <mergeCell ref="C141:E141"/>
    <mergeCell ref="B126:F128"/>
    <mergeCell ref="A143:F144"/>
    <mergeCell ref="B146:F146"/>
    <mergeCell ref="Q115:W115"/>
    <mergeCell ref="A120:L121"/>
    <mergeCell ref="B123:F123"/>
    <mergeCell ref="B124:F124"/>
    <mergeCell ref="A110:A111"/>
    <mergeCell ref="D110:E110"/>
    <mergeCell ref="F110:G110"/>
    <mergeCell ref="H110:I110"/>
    <mergeCell ref="J110:K110"/>
    <mergeCell ref="D111:E111"/>
    <mergeCell ref="F111:G111"/>
    <mergeCell ref="H111:I111"/>
    <mergeCell ref="J111:K111"/>
    <mergeCell ref="A119:L119"/>
    <mergeCell ref="A82:D83"/>
    <mergeCell ref="G64:I64"/>
    <mergeCell ref="G65:I65"/>
    <mergeCell ref="B66:F67"/>
    <mergeCell ref="B68:F68"/>
    <mergeCell ref="A69:A72"/>
    <mergeCell ref="B69:F70"/>
    <mergeCell ref="B71:F72"/>
    <mergeCell ref="G82:I83"/>
    <mergeCell ref="B73:F74"/>
    <mergeCell ref="A75:F75"/>
    <mergeCell ref="A76:A77"/>
    <mergeCell ref="B79:F80"/>
    <mergeCell ref="B76:F77"/>
    <mergeCell ref="B78:F78"/>
    <mergeCell ref="B61:F61"/>
    <mergeCell ref="A62:A65"/>
    <mergeCell ref="B62:F63"/>
    <mergeCell ref="G62:I62"/>
    <mergeCell ref="J62:J65"/>
    <mergeCell ref="G63:I63"/>
    <mergeCell ref="B64:F65"/>
    <mergeCell ref="F52:F55"/>
    <mergeCell ref="B49:B51"/>
    <mergeCell ref="C49:C51"/>
    <mergeCell ref="D49:D51"/>
    <mergeCell ref="E49:E51"/>
    <mergeCell ref="F49:F51"/>
    <mergeCell ref="A59:A60"/>
    <mergeCell ref="B60:F60"/>
    <mergeCell ref="I60:M60"/>
    <mergeCell ref="C52:C55"/>
    <mergeCell ref="D52:D55"/>
    <mergeCell ref="E52:E55"/>
    <mergeCell ref="B2:J5"/>
    <mergeCell ref="B6:C6"/>
    <mergeCell ref="D6:J6"/>
    <mergeCell ref="B7:C7"/>
    <mergeCell ref="D7:J7"/>
    <mergeCell ref="B8:C8"/>
    <mergeCell ref="D8:J8"/>
    <mergeCell ref="P3:P4"/>
    <mergeCell ref="V23:V24"/>
    <mergeCell ref="B19:C19"/>
    <mergeCell ref="B20:C20"/>
    <mergeCell ref="H22:I22"/>
    <mergeCell ref="A12:K12"/>
    <mergeCell ref="B14:C14"/>
    <mergeCell ref="B15:C15"/>
    <mergeCell ref="B16:C16"/>
    <mergeCell ref="B17:C17"/>
    <mergeCell ref="B18:C18"/>
    <mergeCell ref="L22:N22"/>
    <mergeCell ref="L24:L28"/>
    <mergeCell ref="H25:J27"/>
    <mergeCell ref="Q25:U25"/>
    <mergeCell ref="A22:A23"/>
    <mergeCell ref="Q26:U26"/>
    <mergeCell ref="Q29:U29"/>
    <mergeCell ref="H28:J28"/>
    <mergeCell ref="B29:F29"/>
    <mergeCell ref="Q22:Q24"/>
    <mergeCell ref="R22:R24"/>
    <mergeCell ref="S22:S24"/>
    <mergeCell ref="T22:T24"/>
    <mergeCell ref="U22:U24"/>
    <mergeCell ref="L29:L33"/>
    <mergeCell ref="B30:F30"/>
    <mergeCell ref="B31:B33"/>
    <mergeCell ref="C31:C33"/>
    <mergeCell ref="D31:D33"/>
    <mergeCell ref="E31:E33"/>
    <mergeCell ref="F31:F33"/>
    <mergeCell ref="Q28:U28"/>
    <mergeCell ref="Q27:U27"/>
    <mergeCell ref="P25:P28"/>
    <mergeCell ref="Q32:U32"/>
    <mergeCell ref="S56:U56"/>
    <mergeCell ref="B102:E102"/>
    <mergeCell ref="L34:L38"/>
    <mergeCell ref="L39:L43"/>
    <mergeCell ref="L44:L48"/>
    <mergeCell ref="A38:F38"/>
    <mergeCell ref="B9:C9"/>
    <mergeCell ref="D9:J9"/>
    <mergeCell ref="B10:H10"/>
    <mergeCell ref="B34:B37"/>
    <mergeCell ref="C34:C37"/>
    <mergeCell ref="D34:D37"/>
    <mergeCell ref="E34:E37"/>
    <mergeCell ref="F34:F37"/>
    <mergeCell ref="A56:A57"/>
    <mergeCell ref="B56:F56"/>
    <mergeCell ref="I56:M56"/>
    <mergeCell ref="B57:F57"/>
    <mergeCell ref="I57:M57"/>
    <mergeCell ref="B58:F58"/>
    <mergeCell ref="I58:M58"/>
    <mergeCell ref="G50:G51"/>
    <mergeCell ref="B52:B55"/>
    <mergeCell ref="A11:K11"/>
    <mergeCell ref="S57:U57"/>
    <mergeCell ref="T64:U66"/>
    <mergeCell ref="S64:S66"/>
    <mergeCell ref="R64:R66"/>
    <mergeCell ref="Q67:U67"/>
    <mergeCell ref="Q11:U11"/>
    <mergeCell ref="Q71:U71"/>
    <mergeCell ref="P1:U2"/>
    <mergeCell ref="P50:U51"/>
    <mergeCell ref="P67:P70"/>
    <mergeCell ref="R54:R55"/>
    <mergeCell ref="R56:R57"/>
    <mergeCell ref="R58:R59"/>
    <mergeCell ref="R60:R61"/>
    <mergeCell ref="R62:R63"/>
    <mergeCell ref="Q64:Q66"/>
    <mergeCell ref="Q10:U10"/>
    <mergeCell ref="Q34:U35"/>
    <mergeCell ref="P34:P35"/>
    <mergeCell ref="Q36:U37"/>
    <mergeCell ref="P36:P37"/>
    <mergeCell ref="R52:U53"/>
    <mergeCell ref="S54:U54"/>
    <mergeCell ref="S55:U55"/>
  </mergeCells>
  <conditionalFormatting sqref="B126">
    <cfRule type="containsText" dxfId="28" priority="31" operator="containsText" text="% CVR calculado &gt;">
      <formula>NOT(ISERROR(SEARCH("% CVR calculado &gt;",B126)))</formula>
    </cfRule>
    <cfRule type="containsText" dxfId="27" priority="32" operator="containsText" text="% CVR calculado &lt;">
      <formula>NOT(ISERROR(SEARCH("% CVR calculado &lt;",B126)))</formula>
    </cfRule>
  </conditionalFormatting>
  <conditionalFormatting sqref="B149:F151">
    <cfRule type="containsText" dxfId="26" priority="11" operator="containsText" text="% CVR calculado &gt;">
      <formula>NOT(ISERROR(SEARCH("% CVR calculado &gt;",B149)))</formula>
    </cfRule>
    <cfRule type="containsText" dxfId="25" priority="12" operator="containsText" text="% CVR calculado &lt;">
      <formula>NOT(ISERROR(SEARCH("% CVR calculado &lt;",B149)))</formula>
    </cfRule>
  </conditionalFormatting>
  <conditionalFormatting sqref="B166:F168">
    <cfRule type="containsText" dxfId="24" priority="3" operator="containsText" text="% CVWL calculado &gt;">
      <formula>NOT(ISERROR(SEARCH("% CVWL calculado &gt;",B166)))</formula>
    </cfRule>
    <cfRule type="containsText" dxfId="23" priority="4" operator="containsText" text="% CVWL calculado &lt;">
      <formula>NOT(ISERROR(SEARCH("% CVWL calculado &lt;",B166)))</formula>
    </cfRule>
  </conditionalFormatting>
  <conditionalFormatting sqref="B190:F192">
    <cfRule type="containsText" dxfId="22" priority="1" operator="containsText" text="% CVWL calculado &gt;">
      <formula>NOT(ISERROR(SEARCH("% CVWL calculado &gt;",B190)))</formula>
    </cfRule>
    <cfRule type="containsText" dxfId="21" priority="2" operator="containsText" text="% CVWL calculado &lt;">
      <formula>NOT(ISERROR(SEARCH("% CVWL calculado &lt;",B190)))</formula>
    </cfRule>
  </conditionalFormatting>
  <printOptions horizontalCentered="1" verticalCentered="1" gridLinesSet="0"/>
  <pageMargins left="0.19685039370078741" right="0.39370078740157483" top="0.11811023622047245" bottom="0.15748031496062992" header="0.15748031496062992" footer="0.15748031496062992"/>
  <pageSetup scale="53" orientation="landscape" horizontalDpi="300" r:id="rId1"/>
  <headerFooter alignWithMargins="0">
    <oddHeader>&amp;A</oddHeader>
    <oddFooter>Page &amp;P</oddFooter>
  </headerFooter>
  <rowBreaks count="4" manualBreakCount="4">
    <brk id="48" max="16383" man="1"/>
    <brk id="80" max="16383" man="1"/>
    <brk id="112" max="24" man="1"/>
    <brk id="152" max="16383" man="1"/>
  </rowBreaks>
  <colBreaks count="1" manualBreakCount="1">
    <brk id="14"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264"/>
  <sheetViews>
    <sheetView showGridLines="0" topLeftCell="A133" zoomScaleNormal="100" zoomScaleSheetLayoutView="64" workbookViewId="0">
      <selection activeCell="I137" sqref="I137"/>
    </sheetView>
  </sheetViews>
  <sheetFormatPr baseColWidth="10" defaultColWidth="9.140625" defaultRowHeight="12.75" x14ac:dyDescent="0.2"/>
  <cols>
    <col min="1" max="1" width="44.7109375" style="1" customWidth="1"/>
    <col min="2" max="2" width="23.7109375" style="1" customWidth="1"/>
    <col min="3" max="3" width="14.7109375" style="3" customWidth="1"/>
    <col min="4" max="4" width="16" style="3" customWidth="1"/>
    <col min="5" max="5" width="22.7109375" style="3" customWidth="1"/>
    <col min="6" max="6" width="15.7109375" style="3" customWidth="1"/>
    <col min="7" max="7" width="3.28515625" style="3" customWidth="1"/>
    <col min="8" max="12" width="8.7109375" style="1" customWidth="1"/>
    <col min="13" max="13" width="1.7109375" style="1" customWidth="1"/>
    <col min="14" max="16384" width="9.140625" style="1"/>
  </cols>
  <sheetData>
    <row r="1" spans="1:12" ht="13.5" thickBot="1" x14ac:dyDescent="0.25">
      <c r="A1" s="55"/>
    </row>
    <row r="2" spans="1:12" ht="12.75" customHeight="1" x14ac:dyDescent="0.2">
      <c r="A2" s="1108"/>
      <c r="B2" s="1109"/>
      <c r="C2" s="1114" t="s">
        <v>695</v>
      </c>
      <c r="D2" s="1114"/>
      <c r="E2" s="1114"/>
      <c r="F2" s="1114"/>
      <c r="G2" s="1114"/>
      <c r="H2" s="1114"/>
      <c r="I2" s="1114"/>
      <c r="J2" s="79"/>
    </row>
    <row r="3" spans="1:12" ht="12.75" customHeight="1" x14ac:dyDescent="0.2">
      <c r="A3" s="1110"/>
      <c r="B3" s="1111"/>
      <c r="C3" s="1115"/>
      <c r="D3" s="1115"/>
      <c r="E3" s="1115"/>
      <c r="F3" s="1115"/>
      <c r="G3" s="1115"/>
      <c r="H3" s="1115"/>
      <c r="I3" s="1115"/>
      <c r="J3" s="79"/>
    </row>
    <row r="4" spans="1:12" ht="12.75" customHeight="1" x14ac:dyDescent="0.2">
      <c r="A4" s="1110"/>
      <c r="B4" s="1111"/>
      <c r="C4" s="1115"/>
      <c r="D4" s="1115"/>
      <c r="E4" s="1115"/>
      <c r="F4" s="1115"/>
      <c r="G4" s="1115"/>
      <c r="H4" s="1115"/>
      <c r="I4" s="1115"/>
      <c r="J4" s="79"/>
    </row>
    <row r="5" spans="1:12" ht="12.75" customHeight="1" x14ac:dyDescent="0.2">
      <c r="A5" s="1110"/>
      <c r="B5" s="1111"/>
      <c r="C5" s="1116"/>
      <c r="D5" s="1116"/>
      <c r="E5" s="1116"/>
      <c r="F5" s="1116"/>
      <c r="G5" s="1116"/>
      <c r="H5" s="1116"/>
      <c r="I5" s="1116"/>
      <c r="J5" s="79"/>
    </row>
    <row r="6" spans="1:12" ht="20.100000000000001" customHeight="1" x14ac:dyDescent="0.2">
      <c r="A6" s="1110"/>
      <c r="B6" s="1111"/>
      <c r="C6" s="1117" t="s">
        <v>1</v>
      </c>
      <c r="D6" s="1118"/>
      <c r="E6" s="1119" t="s">
        <v>2</v>
      </c>
      <c r="F6" s="1119"/>
      <c r="G6" s="1119"/>
      <c r="H6" s="1119"/>
      <c r="I6" s="1119"/>
      <c r="J6" s="80"/>
    </row>
    <row r="7" spans="1:12" ht="20.100000000000001" customHeight="1" x14ac:dyDescent="0.2">
      <c r="A7" s="1110"/>
      <c r="B7" s="1111"/>
      <c r="C7" s="961" t="s">
        <v>3</v>
      </c>
      <c r="D7" s="1120"/>
      <c r="E7" s="1121"/>
      <c r="F7" s="1122"/>
      <c r="G7" s="1122"/>
      <c r="H7" s="1122"/>
      <c r="I7" s="1123"/>
      <c r="J7" s="81"/>
    </row>
    <row r="8" spans="1:12" ht="20.100000000000001" customHeight="1" x14ac:dyDescent="0.2">
      <c r="A8" s="1110"/>
      <c r="B8" s="1111"/>
      <c r="C8" s="961" t="s">
        <v>4</v>
      </c>
      <c r="D8" s="1120"/>
      <c r="E8" s="1124"/>
      <c r="F8" s="1125"/>
      <c r="G8" s="1125"/>
      <c r="H8" s="1125"/>
      <c r="I8" s="1126"/>
      <c r="J8" s="82"/>
    </row>
    <row r="9" spans="1:12" ht="20.100000000000001" customHeight="1" thickBot="1" x14ac:dyDescent="0.25">
      <c r="A9" s="1112"/>
      <c r="B9" s="1113"/>
      <c r="C9" s="961" t="s">
        <v>5</v>
      </c>
      <c r="D9" s="1120"/>
      <c r="E9" s="1127">
        <v>42676</v>
      </c>
      <c r="F9" s="1128"/>
      <c r="G9" s="1128"/>
      <c r="H9" s="1128"/>
      <c r="I9" s="1129"/>
      <c r="J9" s="83"/>
      <c r="K9" s="23"/>
    </row>
    <row r="10" spans="1:12" ht="23.25" x14ac:dyDescent="0.35">
      <c r="A10" s="1104" t="s">
        <v>185</v>
      </c>
      <c r="B10" s="1105"/>
      <c r="C10" s="1106" t="s">
        <v>379</v>
      </c>
      <c r="D10" s="1106"/>
      <c r="E10" s="1106"/>
      <c r="F10" s="1106"/>
      <c r="G10" s="1106"/>
      <c r="H10" s="1106"/>
      <c r="I10" s="1106"/>
      <c r="J10" s="1107"/>
      <c r="K10" s="23"/>
    </row>
    <row r="11" spans="1:12" x14ac:dyDescent="0.2">
      <c r="A11" s="661" t="s">
        <v>8</v>
      </c>
      <c r="B11" s="661"/>
      <c r="C11" s="661"/>
      <c r="D11" s="661"/>
      <c r="E11" s="661"/>
      <c r="F11" s="661"/>
      <c r="G11" s="661"/>
      <c r="H11" s="661"/>
      <c r="I11" s="661"/>
      <c r="J11" s="661"/>
      <c r="K11" s="23"/>
    </row>
    <row r="12" spans="1:12" x14ac:dyDescent="0.2">
      <c r="A12" s="703" t="s">
        <v>10</v>
      </c>
      <c r="B12" s="703"/>
      <c r="C12" s="703"/>
      <c r="D12" s="703"/>
      <c r="E12" s="703"/>
      <c r="F12" s="703"/>
      <c r="G12" s="703"/>
      <c r="H12" s="703"/>
      <c r="I12" s="703"/>
      <c r="J12" s="703"/>
      <c r="K12" s="24"/>
    </row>
    <row r="13" spans="1:12" x14ac:dyDescent="0.2">
      <c r="A13" s="479"/>
      <c r="B13" s="462"/>
      <c r="C13" s="462"/>
      <c r="D13" s="462"/>
      <c r="E13" s="462"/>
      <c r="F13" s="462"/>
      <c r="G13" s="462"/>
      <c r="H13" s="462"/>
      <c r="I13" s="462"/>
      <c r="J13" s="462"/>
      <c r="K13" s="24"/>
    </row>
    <row r="14" spans="1:12" ht="21" x14ac:dyDescent="0.2">
      <c r="A14" s="479"/>
      <c r="B14" s="1130" t="s">
        <v>378</v>
      </c>
      <c r="C14" s="1130"/>
      <c r="D14" s="1131"/>
      <c r="E14" s="365"/>
      <c r="F14" s="462"/>
      <c r="G14" s="462"/>
      <c r="H14" s="462"/>
      <c r="I14" s="462"/>
      <c r="J14" s="462"/>
      <c r="K14" s="24"/>
    </row>
    <row r="15" spans="1:12" x14ac:dyDescent="0.2">
      <c r="A15" s="385"/>
      <c r="B15" s="462"/>
      <c r="C15" s="462"/>
      <c r="D15" s="462"/>
      <c r="E15" s="462"/>
      <c r="F15" s="462"/>
      <c r="G15" s="462"/>
      <c r="H15" s="462"/>
      <c r="I15" s="462"/>
      <c r="J15" s="462"/>
      <c r="K15" s="2"/>
    </row>
    <row r="16" spans="1:12" ht="20.100000000000001" customHeight="1" x14ac:dyDescent="0.2">
      <c r="A16" s="366" t="s">
        <v>11</v>
      </c>
      <c r="B16" s="84"/>
      <c r="C16" s="46"/>
      <c r="D16" s="366" t="s">
        <v>12</v>
      </c>
      <c r="E16" s="1064" t="s">
        <v>13</v>
      </c>
      <c r="F16" s="1065"/>
      <c r="G16" s="468"/>
      <c r="H16" s="1074" t="s">
        <v>202</v>
      </c>
      <c r="I16" s="1075"/>
      <c r="J16" s="1075"/>
      <c r="K16" s="1062">
        <v>5</v>
      </c>
      <c r="L16" s="1063"/>
    </row>
    <row r="17" spans="1:12" ht="20.100000000000001" customHeight="1" x14ac:dyDescent="0.2">
      <c r="A17" s="366" t="s">
        <v>15</v>
      </c>
      <c r="B17" s="84"/>
      <c r="C17" s="46"/>
      <c r="D17" s="1079" t="s">
        <v>207</v>
      </c>
      <c r="E17" s="1078"/>
      <c r="F17" s="84"/>
      <c r="G17" s="468"/>
      <c r="H17" s="1074" t="s">
        <v>203</v>
      </c>
      <c r="I17" s="1075"/>
      <c r="J17" s="1075"/>
      <c r="K17" s="1062">
        <f>K16*K18</f>
        <v>25</v>
      </c>
      <c r="L17" s="1063"/>
    </row>
    <row r="18" spans="1:12" ht="20.100000000000001" customHeight="1" x14ac:dyDescent="0.2">
      <c r="A18" s="366" t="s">
        <v>18</v>
      </c>
      <c r="B18" s="84" t="s">
        <v>288</v>
      </c>
      <c r="C18" s="46"/>
      <c r="D18" s="1079" t="s">
        <v>19</v>
      </c>
      <c r="E18" s="1078"/>
      <c r="F18" s="84"/>
      <c r="G18" s="468"/>
      <c r="H18" s="1074" t="s">
        <v>205</v>
      </c>
      <c r="I18" s="1075"/>
      <c r="J18" s="1075"/>
      <c r="K18" s="1062">
        <v>5</v>
      </c>
      <c r="L18" s="1063"/>
    </row>
    <row r="19" spans="1:12" ht="20.100000000000001" customHeight="1" x14ac:dyDescent="0.2">
      <c r="A19" s="366" t="s">
        <v>20</v>
      </c>
      <c r="B19" s="84" t="s">
        <v>289</v>
      </c>
      <c r="C19" s="45"/>
      <c r="D19" s="1079" t="s">
        <v>210</v>
      </c>
      <c r="E19" s="1078"/>
      <c r="F19" s="84"/>
      <c r="G19" s="468"/>
      <c r="H19" s="1074" t="s">
        <v>206</v>
      </c>
      <c r="I19" s="1075"/>
      <c r="J19" s="1075"/>
      <c r="K19" s="1062">
        <f>(K16*K18)-1</f>
        <v>24</v>
      </c>
      <c r="L19" s="1063"/>
    </row>
    <row r="20" spans="1:12" ht="20.100000000000001" customHeight="1" x14ac:dyDescent="0.2">
      <c r="A20" s="366" t="s">
        <v>21</v>
      </c>
      <c r="B20" s="84"/>
      <c r="C20" s="46"/>
      <c r="D20" s="1079" t="s">
        <v>347</v>
      </c>
      <c r="E20" s="1078"/>
      <c r="F20" s="84">
        <v>142.5</v>
      </c>
      <c r="G20" s="468"/>
      <c r="H20" s="1052" t="s">
        <v>295</v>
      </c>
      <c r="I20" s="1053"/>
      <c r="J20" s="1054"/>
      <c r="K20" s="1058" t="s">
        <v>339</v>
      </c>
      <c r="L20" s="1059"/>
    </row>
    <row r="21" spans="1:12" ht="20.100000000000001" customHeight="1" x14ac:dyDescent="0.2">
      <c r="A21" s="366" t="s">
        <v>208</v>
      </c>
      <c r="B21" s="84" t="s">
        <v>290</v>
      </c>
      <c r="C21" s="46"/>
      <c r="D21" s="1079" t="s">
        <v>204</v>
      </c>
      <c r="E21" s="1078"/>
      <c r="F21" s="365">
        <f>B65</f>
        <v>140.12</v>
      </c>
      <c r="G21" s="468"/>
      <c r="H21" s="1055"/>
      <c r="I21" s="1056"/>
      <c r="J21" s="1057"/>
      <c r="K21" s="1060"/>
      <c r="L21" s="1061"/>
    </row>
    <row r="22" spans="1:12" ht="20.100000000000001" customHeight="1" x14ac:dyDescent="0.2">
      <c r="A22" s="366" t="s">
        <v>209</v>
      </c>
      <c r="B22" s="84">
        <v>42735</v>
      </c>
      <c r="C22" s="46"/>
      <c r="D22" s="1079" t="s">
        <v>14</v>
      </c>
      <c r="E22" s="1078"/>
      <c r="F22" s="84" t="s">
        <v>326</v>
      </c>
      <c r="G22" s="16"/>
      <c r="H22" s="1076" t="s">
        <v>291</v>
      </c>
      <c r="I22" s="1077"/>
      <c r="J22" s="1078"/>
      <c r="K22" s="1064" t="s">
        <v>325</v>
      </c>
      <c r="L22" s="1065"/>
    </row>
    <row r="23" spans="1:12" ht="20.100000000000001" customHeight="1" x14ac:dyDescent="0.2">
      <c r="A23" s="367" t="s">
        <v>697</v>
      </c>
      <c r="B23" s="368">
        <f>'Precisión CLSI A3'!B61:F61</f>
        <v>3.16</v>
      </c>
      <c r="C23" s="46"/>
      <c r="D23" s="1079" t="s">
        <v>211</v>
      </c>
      <c r="E23" s="1078"/>
      <c r="F23" s="84">
        <v>4.5</v>
      </c>
      <c r="G23" s="468"/>
      <c r="H23" s="1079" t="s">
        <v>292</v>
      </c>
      <c r="I23" s="1077"/>
      <c r="J23" s="1078"/>
      <c r="K23" s="1080">
        <v>42736</v>
      </c>
      <c r="L23" s="1081"/>
    </row>
    <row r="24" spans="1:12" ht="20.100000000000001" customHeight="1" x14ac:dyDescent="0.2">
      <c r="A24" s="367" t="s">
        <v>698</v>
      </c>
      <c r="B24" s="368">
        <f>'Precisión CLSI A3'!B76</f>
        <v>5.6976000000000226</v>
      </c>
      <c r="C24" s="53"/>
      <c r="D24" s="1079" t="s">
        <v>212</v>
      </c>
      <c r="E24" s="1078"/>
      <c r="F24" s="84">
        <v>43</v>
      </c>
      <c r="G24" s="468"/>
      <c r="H24" s="1052" t="s">
        <v>293</v>
      </c>
      <c r="I24" s="1053"/>
      <c r="J24" s="1054"/>
      <c r="K24" s="1058" t="s">
        <v>294</v>
      </c>
      <c r="L24" s="1059"/>
    </row>
    <row r="25" spans="1:12" ht="20.100000000000001" customHeight="1" x14ac:dyDescent="0.2">
      <c r="A25" s="385"/>
      <c r="B25" s="369"/>
      <c r="C25" s="370"/>
      <c r="D25" s="1079" t="s">
        <v>686</v>
      </c>
      <c r="E25" s="1078"/>
      <c r="F25" s="84">
        <v>25.3</v>
      </c>
      <c r="G25" s="468"/>
      <c r="H25" s="1055"/>
      <c r="I25" s="1056"/>
      <c r="J25" s="1057"/>
      <c r="K25" s="1060"/>
      <c r="L25" s="1061"/>
    </row>
    <row r="26" spans="1:12" ht="20.100000000000001" customHeight="1" x14ac:dyDescent="0.2">
      <c r="A26" s="385"/>
      <c r="B26" s="105"/>
      <c r="C26" s="370"/>
      <c r="D26" s="1074" t="s">
        <v>713</v>
      </c>
      <c r="E26" s="1169"/>
      <c r="F26" s="374">
        <f>(F20*F25)/100</f>
        <v>36.052500000000002</v>
      </c>
      <c r="G26" s="52"/>
      <c r="H26" s="1008" t="s">
        <v>680</v>
      </c>
      <c r="I26" s="977"/>
      <c r="J26" s="977"/>
      <c r="K26" s="1070">
        <v>2</v>
      </c>
      <c r="L26" s="1070"/>
    </row>
    <row r="27" spans="1:12" ht="20.100000000000001" customHeight="1" x14ac:dyDescent="0.2">
      <c r="A27" s="385"/>
      <c r="B27" s="371"/>
      <c r="C27" s="370"/>
      <c r="D27" s="1137" t="s">
        <v>699</v>
      </c>
      <c r="E27" s="1137"/>
      <c r="F27" s="372">
        <f>F26/2</f>
        <v>18.026250000000001</v>
      </c>
      <c r="G27" s="52"/>
      <c r="H27" s="1009"/>
      <c r="I27" s="979"/>
      <c r="J27" s="979"/>
      <c r="K27" s="1071"/>
      <c r="L27" s="1071"/>
    </row>
    <row r="28" spans="1:12" ht="20.100000000000001" customHeight="1" x14ac:dyDescent="0.2">
      <c r="A28" s="385"/>
      <c r="B28" s="371"/>
      <c r="C28" s="370"/>
      <c r="D28" s="1137" t="s">
        <v>700</v>
      </c>
      <c r="E28" s="1137"/>
      <c r="F28" s="373">
        <f>(F25*0.5)/100</f>
        <v>0.1265</v>
      </c>
      <c r="G28" s="52"/>
    </row>
    <row r="29" spans="1:12" ht="20.100000000000001" customHeight="1" x14ac:dyDescent="0.2">
      <c r="A29" s="486"/>
      <c r="B29" s="487"/>
      <c r="C29" s="488"/>
      <c r="D29" s="51"/>
      <c r="E29" s="51"/>
      <c r="G29" s="5"/>
    </row>
    <row r="30" spans="1:12" ht="50.1" customHeight="1" x14ac:dyDescent="0.2">
      <c r="A30" s="1030" t="s">
        <v>732</v>
      </c>
      <c r="B30" s="1031"/>
      <c r="C30" s="1031"/>
      <c r="D30" s="1031"/>
      <c r="E30" s="1032"/>
      <c r="G30" s="5"/>
    </row>
    <row r="31" spans="1:12" ht="20.100000000000001" customHeight="1" x14ac:dyDescent="0.2">
      <c r="A31" s="1156" t="s">
        <v>284</v>
      </c>
      <c r="B31" s="1156" t="s">
        <v>213</v>
      </c>
      <c r="C31" s="1190" t="s">
        <v>214</v>
      </c>
      <c r="D31" s="1191"/>
      <c r="E31" s="1192"/>
    </row>
    <row r="32" spans="1:12" ht="27.75" customHeight="1" x14ac:dyDescent="0.2">
      <c r="A32" s="725"/>
      <c r="B32" s="725"/>
      <c r="C32" s="1193"/>
      <c r="D32" s="1194"/>
      <c r="E32" s="1195"/>
    </row>
    <row r="33" spans="1:10" ht="20.100000000000001" customHeight="1" x14ac:dyDescent="0.2">
      <c r="A33" s="491" t="s">
        <v>300</v>
      </c>
      <c r="B33" s="375" t="s">
        <v>215</v>
      </c>
      <c r="C33" s="1064">
        <v>140</v>
      </c>
      <c r="D33" s="1189"/>
      <c r="E33" s="1065"/>
    </row>
    <row r="34" spans="1:10" ht="20.100000000000001" customHeight="1" x14ac:dyDescent="0.2">
      <c r="A34" s="1157" t="s">
        <v>296</v>
      </c>
      <c r="B34" s="376" t="s">
        <v>216</v>
      </c>
      <c r="C34" s="1064">
        <v>139</v>
      </c>
      <c r="D34" s="1189"/>
      <c r="E34" s="1065"/>
    </row>
    <row r="35" spans="1:10" ht="20.100000000000001" customHeight="1" x14ac:dyDescent="0.2">
      <c r="A35" s="1157"/>
      <c r="B35" s="376" t="s">
        <v>297</v>
      </c>
      <c r="C35" s="1064">
        <v>138</v>
      </c>
      <c r="D35" s="1189"/>
      <c r="E35" s="1065"/>
    </row>
    <row r="36" spans="1:10" ht="20.100000000000001" customHeight="1" x14ac:dyDescent="0.2">
      <c r="A36" s="1157"/>
      <c r="B36" s="377" t="s">
        <v>298</v>
      </c>
      <c r="C36" s="1058">
        <v>138</v>
      </c>
      <c r="D36" s="1188"/>
      <c r="E36" s="1059"/>
    </row>
    <row r="37" spans="1:10" ht="20.100000000000001" customHeight="1" x14ac:dyDescent="0.2">
      <c r="A37" s="1157"/>
      <c r="B37" s="376" t="s">
        <v>299</v>
      </c>
      <c r="C37" s="1064">
        <v>140</v>
      </c>
      <c r="D37" s="1189"/>
      <c r="E37" s="1065"/>
      <c r="F37" s="476"/>
    </row>
    <row r="38" spans="1:10" ht="20.100000000000001" customHeight="1" thickBot="1" x14ac:dyDescent="0.25">
      <c r="A38" s="492"/>
      <c r="B38" s="85"/>
      <c r="C38" s="85"/>
    </row>
    <row r="39" spans="1:10" ht="20.100000000000001" customHeight="1" thickTop="1" x14ac:dyDescent="0.2">
      <c r="A39" s="493" t="s">
        <v>217</v>
      </c>
      <c r="B39" s="376" t="s">
        <v>302</v>
      </c>
      <c r="C39" s="1064">
        <v>140</v>
      </c>
      <c r="D39" s="1189"/>
      <c r="E39" s="1065"/>
    </row>
    <row r="40" spans="1:10" ht="20.100000000000001" customHeight="1" x14ac:dyDescent="0.2">
      <c r="A40" s="1157" t="s">
        <v>301</v>
      </c>
      <c r="B40" s="376" t="s">
        <v>303</v>
      </c>
      <c r="C40" s="1064">
        <v>143</v>
      </c>
      <c r="D40" s="1189"/>
      <c r="E40" s="1065"/>
    </row>
    <row r="41" spans="1:10" ht="20.100000000000001" customHeight="1" x14ac:dyDescent="0.2">
      <c r="A41" s="1157"/>
      <c r="B41" s="376" t="s">
        <v>304</v>
      </c>
      <c r="C41" s="1064">
        <v>141</v>
      </c>
      <c r="D41" s="1189"/>
      <c r="E41" s="1065"/>
    </row>
    <row r="42" spans="1:10" ht="20.100000000000001" customHeight="1" x14ac:dyDescent="0.2">
      <c r="A42" s="1157" t="s">
        <v>301</v>
      </c>
      <c r="B42" s="376" t="s">
        <v>305</v>
      </c>
      <c r="C42" s="1058">
        <v>143</v>
      </c>
      <c r="D42" s="1188"/>
      <c r="E42" s="1059"/>
    </row>
    <row r="43" spans="1:10" ht="20.100000000000001" customHeight="1" x14ac:dyDescent="0.2">
      <c r="A43" s="1157"/>
      <c r="B43" s="376" t="s">
        <v>306</v>
      </c>
      <c r="C43" s="1064">
        <v>137</v>
      </c>
      <c r="D43" s="1189"/>
      <c r="E43" s="1065"/>
    </row>
    <row r="44" spans="1:10" ht="20.100000000000001" customHeight="1" thickBot="1" x14ac:dyDescent="0.25">
      <c r="A44" s="492"/>
      <c r="B44" s="86"/>
      <c r="C44" s="86"/>
    </row>
    <row r="45" spans="1:10" ht="20.100000000000001" customHeight="1" thickTop="1" x14ac:dyDescent="0.2">
      <c r="A45" s="493" t="s">
        <v>217</v>
      </c>
      <c r="B45" s="376" t="s">
        <v>308</v>
      </c>
      <c r="C45" s="1064">
        <v>140</v>
      </c>
      <c r="D45" s="1189"/>
      <c r="E45" s="1065"/>
    </row>
    <row r="46" spans="1:10" ht="20.100000000000001" customHeight="1" x14ac:dyDescent="0.2">
      <c r="A46" s="1157" t="s">
        <v>307</v>
      </c>
      <c r="B46" s="376" t="s">
        <v>309</v>
      </c>
      <c r="C46" s="1064">
        <v>138</v>
      </c>
      <c r="D46" s="1189"/>
      <c r="E46" s="1065"/>
      <c r="I46" s="1069"/>
      <c r="J46" s="1069"/>
    </row>
    <row r="47" spans="1:10" ht="20.100000000000001" customHeight="1" x14ac:dyDescent="0.2">
      <c r="A47" s="1157"/>
      <c r="B47" s="376" t="s">
        <v>310</v>
      </c>
      <c r="C47" s="1064">
        <v>136</v>
      </c>
      <c r="D47" s="1189"/>
      <c r="E47" s="1065"/>
      <c r="I47" s="468"/>
      <c r="J47" s="468"/>
    </row>
    <row r="48" spans="1:10" ht="20.100000000000001" customHeight="1" x14ac:dyDescent="0.2">
      <c r="A48" s="1157" t="s">
        <v>307</v>
      </c>
      <c r="B48" s="376" t="s">
        <v>311</v>
      </c>
      <c r="C48" s="1058">
        <v>141</v>
      </c>
      <c r="D48" s="1188"/>
      <c r="E48" s="1059"/>
      <c r="I48" s="468"/>
      <c r="J48" s="468"/>
    </row>
    <row r="49" spans="1:24" ht="20.100000000000001" customHeight="1" x14ac:dyDescent="0.2">
      <c r="A49" s="1157"/>
      <c r="B49" s="376" t="s">
        <v>312</v>
      </c>
      <c r="C49" s="1064">
        <v>136</v>
      </c>
      <c r="D49" s="1189"/>
      <c r="E49" s="1065"/>
      <c r="I49" s="468"/>
      <c r="J49" s="468"/>
    </row>
    <row r="50" spans="1:24" ht="20.100000000000001" customHeight="1" thickBot="1" x14ac:dyDescent="0.25">
      <c r="A50" s="492"/>
      <c r="B50" s="86"/>
      <c r="C50" s="86"/>
      <c r="I50" s="1069"/>
      <c r="J50" s="1069"/>
    </row>
    <row r="51" spans="1:24" ht="20.100000000000001" customHeight="1" thickTop="1" x14ac:dyDescent="0.2">
      <c r="A51" s="493" t="s">
        <v>217</v>
      </c>
      <c r="B51" s="378" t="s">
        <v>313</v>
      </c>
      <c r="C51" s="1064">
        <v>141</v>
      </c>
      <c r="D51" s="1189"/>
      <c r="E51" s="1065"/>
      <c r="I51" s="1069"/>
      <c r="J51" s="1069"/>
    </row>
    <row r="52" spans="1:24" ht="20.100000000000001" customHeight="1" x14ac:dyDescent="0.2">
      <c r="A52" s="1168" t="s">
        <v>318</v>
      </c>
      <c r="B52" s="376" t="s">
        <v>314</v>
      </c>
      <c r="C52" s="1064">
        <v>144</v>
      </c>
      <c r="D52" s="1189"/>
      <c r="E52" s="1065"/>
      <c r="I52" s="1069"/>
      <c r="J52" s="1069"/>
    </row>
    <row r="53" spans="1:24" ht="20.100000000000001" customHeight="1" x14ac:dyDescent="0.2">
      <c r="A53" s="1168"/>
      <c r="B53" s="376" t="s">
        <v>315</v>
      </c>
      <c r="C53" s="1064">
        <v>142</v>
      </c>
      <c r="D53" s="1189"/>
      <c r="E53" s="1065"/>
      <c r="I53" s="468"/>
      <c r="J53" s="468"/>
    </row>
    <row r="54" spans="1:24" ht="20.100000000000001" customHeight="1" x14ac:dyDescent="0.2">
      <c r="A54" s="1168"/>
      <c r="B54" s="376" t="s">
        <v>316</v>
      </c>
      <c r="C54" s="1058">
        <v>143</v>
      </c>
      <c r="D54" s="1188"/>
      <c r="E54" s="1059"/>
      <c r="I54" s="468"/>
      <c r="J54" s="468"/>
    </row>
    <row r="55" spans="1:24" ht="20.100000000000001" customHeight="1" x14ac:dyDescent="0.2">
      <c r="A55" s="1168"/>
      <c r="B55" s="376" t="s">
        <v>317</v>
      </c>
      <c r="C55" s="1064">
        <v>144</v>
      </c>
      <c r="D55" s="1189"/>
      <c r="E55" s="1065"/>
      <c r="I55" s="468"/>
      <c r="J55" s="468"/>
    </row>
    <row r="56" spans="1:24" ht="20.100000000000001" customHeight="1" thickBot="1" x14ac:dyDescent="0.25">
      <c r="A56" s="492"/>
      <c r="B56" s="86"/>
      <c r="C56" s="86"/>
      <c r="I56" s="468"/>
      <c r="J56" s="468"/>
    </row>
    <row r="57" spans="1:24" ht="20.100000000000001" customHeight="1" thickTop="1" x14ac:dyDescent="0.2">
      <c r="A57" s="494" t="s">
        <v>217</v>
      </c>
      <c r="B57" s="376" t="s">
        <v>320</v>
      </c>
      <c r="C57" s="1064">
        <v>139</v>
      </c>
      <c r="D57" s="1189"/>
      <c r="E57" s="1065"/>
      <c r="I57" s="468"/>
      <c r="J57" s="468"/>
    </row>
    <row r="58" spans="1:24" ht="20.100000000000001" customHeight="1" x14ac:dyDescent="0.2">
      <c r="A58" s="1157" t="s">
        <v>319</v>
      </c>
      <c r="B58" s="376" t="s">
        <v>321</v>
      </c>
      <c r="C58" s="1064">
        <v>140</v>
      </c>
      <c r="D58" s="1189"/>
      <c r="E58" s="1065"/>
      <c r="I58" s="468"/>
      <c r="J58" s="468"/>
    </row>
    <row r="59" spans="1:24" ht="20.100000000000001" customHeight="1" x14ac:dyDescent="0.2">
      <c r="A59" s="1157"/>
      <c r="B59" s="376" t="s">
        <v>322</v>
      </c>
      <c r="C59" s="1064">
        <v>141</v>
      </c>
      <c r="D59" s="1189"/>
      <c r="E59" s="1065"/>
      <c r="I59" s="8"/>
      <c r="J59" s="8"/>
    </row>
    <row r="60" spans="1:24" ht="20.100000000000001" customHeight="1" x14ac:dyDescent="0.2">
      <c r="A60" s="1157"/>
      <c r="B60" s="376" t="s">
        <v>323</v>
      </c>
      <c r="C60" s="1058">
        <v>138</v>
      </c>
      <c r="D60" s="1188"/>
      <c r="E60" s="1059"/>
      <c r="I60" s="8"/>
      <c r="J60" s="8"/>
    </row>
    <row r="61" spans="1:24" ht="19.5" customHeight="1" x14ac:dyDescent="0.2">
      <c r="A61" s="1158"/>
      <c r="B61" s="376" t="s">
        <v>324</v>
      </c>
      <c r="C61" s="1064">
        <v>141</v>
      </c>
      <c r="D61" s="1189"/>
      <c r="E61" s="1065"/>
      <c r="I61" s="8"/>
      <c r="J61" s="8"/>
    </row>
    <row r="62" spans="1:24" ht="20.100000000000001" customHeight="1" x14ac:dyDescent="0.2">
      <c r="A62" s="379" t="s">
        <v>218</v>
      </c>
      <c r="B62" s="1143">
        <f>SUM(C33:C61)</f>
        <v>3503</v>
      </c>
      <c r="C62" s="1144"/>
      <c r="D62" s="1144"/>
      <c r="E62" s="1145"/>
    </row>
    <row r="63" spans="1:24" ht="20.100000000000001" customHeight="1" x14ac:dyDescent="0.2">
      <c r="A63" s="380" t="s">
        <v>712</v>
      </c>
      <c r="B63" s="1146"/>
      <c r="C63" s="1147"/>
      <c r="D63" s="1147"/>
      <c r="E63" s="1148"/>
      <c r="O63" s="1072" t="s">
        <v>362</v>
      </c>
      <c r="P63" s="1072"/>
      <c r="Q63" s="1072"/>
      <c r="R63" s="1072"/>
      <c r="S63" s="1072"/>
      <c r="T63" s="1072"/>
      <c r="U63" s="1072"/>
      <c r="V63" s="1072"/>
      <c r="W63" s="1072"/>
      <c r="X63" s="1072"/>
    </row>
    <row r="64" spans="1:24" ht="20.100000000000001" customHeight="1" x14ac:dyDescent="0.2">
      <c r="A64" s="381" t="s">
        <v>221</v>
      </c>
      <c r="B64" s="1149"/>
      <c r="C64" s="1150"/>
      <c r="D64" s="1150"/>
      <c r="E64" s="1151"/>
      <c r="O64" s="1072"/>
      <c r="P64" s="1072"/>
      <c r="Q64" s="1072"/>
      <c r="R64" s="1072"/>
      <c r="S64" s="1072"/>
      <c r="T64" s="1072"/>
      <c r="U64" s="1072"/>
      <c r="V64" s="1072"/>
      <c r="W64" s="1072"/>
      <c r="X64" s="1072"/>
    </row>
    <row r="65" spans="1:24" ht="24.95" customHeight="1" x14ac:dyDescent="0.2">
      <c r="A65" s="380" t="s">
        <v>219</v>
      </c>
      <c r="B65" s="1152">
        <f>B62/(K16*K18)</f>
        <v>140.12</v>
      </c>
      <c r="C65" s="1152"/>
      <c r="D65" s="1152"/>
      <c r="E65" s="1153"/>
      <c r="F65" s="25"/>
      <c r="O65" s="1073"/>
      <c r="P65" s="1073"/>
      <c r="Q65" s="1073"/>
      <c r="R65" s="1073"/>
      <c r="S65" s="1073"/>
      <c r="T65" s="1073"/>
      <c r="U65" s="1073"/>
      <c r="V65" s="1073"/>
      <c r="W65" s="1073"/>
      <c r="X65" s="1073"/>
    </row>
    <row r="66" spans="1:24" ht="24.95" customHeight="1" x14ac:dyDescent="0.2">
      <c r="A66" s="382" t="s">
        <v>327</v>
      </c>
      <c r="B66" s="1152"/>
      <c r="C66" s="1152"/>
      <c r="D66" s="1152"/>
      <c r="E66" s="1153"/>
      <c r="F66" s="1164"/>
      <c r="O66" s="1066" t="s">
        <v>354</v>
      </c>
      <c r="P66" s="1067"/>
      <c r="Q66" s="1068" t="s">
        <v>355</v>
      </c>
      <c r="R66" s="1067"/>
      <c r="S66" s="1068" t="s">
        <v>356</v>
      </c>
      <c r="T66" s="1067"/>
      <c r="U66" s="1068" t="s">
        <v>357</v>
      </c>
      <c r="V66" s="1067"/>
      <c r="W66" s="1066" t="s">
        <v>358</v>
      </c>
      <c r="X66" s="1067"/>
    </row>
    <row r="67" spans="1:24" ht="24.95" customHeight="1" x14ac:dyDescent="0.2">
      <c r="A67" s="383" t="s">
        <v>220</v>
      </c>
      <c r="B67" s="1152"/>
      <c r="C67" s="1152"/>
      <c r="D67" s="1152"/>
      <c r="E67" s="1153"/>
      <c r="F67" s="1164"/>
      <c r="O67" s="495" t="s">
        <v>359</v>
      </c>
      <c r="P67" s="496" t="s">
        <v>360</v>
      </c>
      <c r="Q67" s="495" t="s">
        <v>359</v>
      </c>
      <c r="R67" s="496" t="s">
        <v>360</v>
      </c>
      <c r="S67" s="497" t="s">
        <v>359</v>
      </c>
      <c r="T67" s="496" t="s">
        <v>360</v>
      </c>
      <c r="U67" s="498" t="s">
        <v>359</v>
      </c>
      <c r="V67" s="496" t="s">
        <v>360</v>
      </c>
      <c r="W67" s="497" t="s">
        <v>359</v>
      </c>
      <c r="X67" s="496" t="s">
        <v>360</v>
      </c>
    </row>
    <row r="68" spans="1:24" ht="24.95" customHeight="1" x14ac:dyDescent="0.35">
      <c r="A68" s="383" t="s">
        <v>285</v>
      </c>
      <c r="B68" s="1152"/>
      <c r="C68" s="1152"/>
      <c r="D68" s="1152"/>
      <c r="E68" s="1153"/>
      <c r="F68" s="1164"/>
      <c r="O68" s="499">
        <v>0</v>
      </c>
      <c r="P68" s="500">
        <v>4</v>
      </c>
      <c r="Q68" s="501">
        <v>0</v>
      </c>
      <c r="R68" s="502">
        <v>4</v>
      </c>
      <c r="S68" s="501">
        <v>0</v>
      </c>
      <c r="T68" s="503">
        <v>4</v>
      </c>
      <c r="U68" s="504">
        <v>0</v>
      </c>
      <c r="V68" s="503">
        <v>4</v>
      </c>
      <c r="W68" s="501">
        <v>0</v>
      </c>
      <c r="X68" s="503">
        <v>4</v>
      </c>
    </row>
    <row r="69" spans="1:24" ht="24.95" customHeight="1" x14ac:dyDescent="0.2">
      <c r="A69" s="384" t="s">
        <v>328</v>
      </c>
      <c r="B69" s="1154"/>
      <c r="C69" s="1154"/>
      <c r="D69" s="1154"/>
      <c r="E69" s="1155"/>
      <c r="F69" s="467"/>
      <c r="O69" s="499">
        <v>0.34899999999999998</v>
      </c>
      <c r="P69" s="500">
        <v>5</v>
      </c>
      <c r="Q69" s="501">
        <v>0.34599999999999997</v>
      </c>
      <c r="R69" s="502">
        <v>5</v>
      </c>
      <c r="S69" s="501">
        <v>0.34399999999999997</v>
      </c>
      <c r="T69" s="503">
        <v>5</v>
      </c>
      <c r="U69" s="504">
        <v>0.34399999999999997</v>
      </c>
      <c r="V69" s="503">
        <v>5</v>
      </c>
      <c r="W69" s="501">
        <v>0.34399999999999997</v>
      </c>
      <c r="X69" s="503">
        <v>5</v>
      </c>
    </row>
    <row r="70" spans="1:24" ht="15.75" customHeight="1" thickBot="1" x14ac:dyDescent="0.25">
      <c r="A70" s="385"/>
      <c r="B70" s="166"/>
      <c r="C70" s="169"/>
      <c r="D70" s="169"/>
      <c r="E70" s="169"/>
      <c r="O70" s="499">
        <v>0.49</v>
      </c>
      <c r="P70" s="500">
        <v>6</v>
      </c>
      <c r="Q70" s="501">
        <v>0.48099999999999998</v>
      </c>
      <c r="R70" s="502">
        <v>6</v>
      </c>
      <c r="S70" s="501">
        <v>0.47699999999999998</v>
      </c>
      <c r="T70" s="503">
        <v>6</v>
      </c>
      <c r="U70" s="504">
        <v>0.47499999999999998</v>
      </c>
      <c r="V70" s="503">
        <v>6</v>
      </c>
      <c r="W70" s="501">
        <v>0.47499999999999998</v>
      </c>
      <c r="X70" s="505">
        <v>6</v>
      </c>
    </row>
    <row r="71" spans="1:24" ht="30" customHeight="1" x14ac:dyDescent="0.2">
      <c r="A71" s="1030" t="s">
        <v>348</v>
      </c>
      <c r="B71" s="1031"/>
      <c r="C71" s="1031"/>
      <c r="D71" s="1032"/>
      <c r="E71" s="386" t="s">
        <v>701</v>
      </c>
      <c r="O71" s="506">
        <v>0.6</v>
      </c>
      <c r="P71" s="507">
        <v>7</v>
      </c>
      <c r="Q71" s="508">
        <v>0.58199999999999996</v>
      </c>
      <c r="R71" s="509">
        <v>7</v>
      </c>
      <c r="S71" s="508">
        <v>0.57299999999999995</v>
      </c>
      <c r="T71" s="505">
        <v>7</v>
      </c>
      <c r="U71" s="510">
        <v>0.57099999999999995</v>
      </c>
      <c r="V71" s="505">
        <v>7</v>
      </c>
      <c r="W71" s="508">
        <v>0.56899999999999995</v>
      </c>
      <c r="X71" s="511">
        <v>7</v>
      </c>
    </row>
    <row r="72" spans="1:24" ht="30" customHeight="1" x14ac:dyDescent="0.2">
      <c r="A72" s="1038" t="s">
        <v>349</v>
      </c>
      <c r="B72" s="1031"/>
      <c r="C72" s="1031"/>
      <c r="D72" s="1032"/>
      <c r="E72" s="485" t="s">
        <v>702</v>
      </c>
      <c r="O72" s="499">
        <v>0.69799999999999995</v>
      </c>
      <c r="P72" s="500">
        <v>8</v>
      </c>
      <c r="Q72" s="501">
        <v>0.66600000000000004</v>
      </c>
      <c r="R72" s="502">
        <v>8</v>
      </c>
      <c r="S72" s="501">
        <v>0.65200000000000002</v>
      </c>
      <c r="T72" s="503">
        <v>8</v>
      </c>
      <c r="U72" s="504">
        <v>0.64700000000000002</v>
      </c>
      <c r="V72" s="503">
        <v>8</v>
      </c>
      <c r="W72" s="501">
        <v>0.46400000000000002</v>
      </c>
      <c r="X72" s="503">
        <v>8</v>
      </c>
    </row>
    <row r="73" spans="1:24" ht="30" customHeight="1" thickBot="1" x14ac:dyDescent="0.25">
      <c r="A73" s="1205" t="s">
        <v>340</v>
      </c>
      <c r="B73" s="1206"/>
      <c r="C73" s="1206"/>
      <c r="D73" s="1206"/>
      <c r="E73" s="1207"/>
      <c r="O73" s="506">
        <v>0.79100000000000004</v>
      </c>
      <c r="P73" s="507">
        <v>9</v>
      </c>
      <c r="Q73" s="508">
        <v>0.73899999999999999</v>
      </c>
      <c r="R73" s="509">
        <v>9</v>
      </c>
      <c r="S73" s="508">
        <v>0.71799999999999997</v>
      </c>
      <c r="T73" s="505">
        <v>9</v>
      </c>
      <c r="U73" s="510">
        <v>0.71299999999999997</v>
      </c>
      <c r="V73" s="505">
        <v>9</v>
      </c>
      <c r="W73" s="512">
        <v>0.71</v>
      </c>
      <c r="X73" s="513">
        <v>9</v>
      </c>
    </row>
    <row r="74" spans="1:24" ht="20.25" customHeight="1" x14ac:dyDescent="0.2">
      <c r="A74" s="367" t="s">
        <v>697</v>
      </c>
      <c r="B74" s="1100">
        <f>B23</f>
        <v>3.16</v>
      </c>
      <c r="C74" s="1101"/>
      <c r="D74" s="1101"/>
      <c r="E74" s="1102"/>
      <c r="O74" s="514">
        <v>0.88600000000000001</v>
      </c>
      <c r="P74" s="515">
        <v>10</v>
      </c>
      <c r="Q74" s="512">
        <v>0.80600000000000005</v>
      </c>
      <c r="R74" s="516">
        <v>10</v>
      </c>
      <c r="S74" s="512">
        <v>0.77800000000000002</v>
      </c>
      <c r="T74" s="517">
        <v>10</v>
      </c>
      <c r="U74" s="518">
        <v>0.77</v>
      </c>
      <c r="V74" s="517">
        <v>10</v>
      </c>
      <c r="W74" s="512">
        <v>0.76600000000000001</v>
      </c>
      <c r="X74" s="511">
        <v>10</v>
      </c>
    </row>
    <row r="75" spans="1:24" ht="20.25" customHeight="1" x14ac:dyDescent="0.2">
      <c r="A75" s="367" t="s">
        <v>698</v>
      </c>
      <c r="B75" s="1100">
        <f>B24</f>
        <v>5.6976000000000226</v>
      </c>
      <c r="C75" s="1101"/>
      <c r="D75" s="1101"/>
      <c r="E75" s="1102"/>
      <c r="O75" s="499">
        <v>0.99099999999999999</v>
      </c>
      <c r="P75" s="500">
        <v>11</v>
      </c>
      <c r="Q75" s="501">
        <v>0.86899999999999999</v>
      </c>
      <c r="R75" s="502">
        <v>11</v>
      </c>
      <c r="S75" s="501">
        <v>0.83099999999999996</v>
      </c>
      <c r="T75" s="503">
        <v>11</v>
      </c>
      <c r="U75" s="504">
        <v>0.82099999999999995</v>
      </c>
      <c r="V75" s="503">
        <v>11</v>
      </c>
      <c r="W75" s="501">
        <v>0.81599999999999995</v>
      </c>
      <c r="X75" s="503">
        <v>11</v>
      </c>
    </row>
    <row r="76" spans="1:24" ht="20.25" customHeight="1" x14ac:dyDescent="0.2">
      <c r="A76" s="367" t="s">
        <v>331</v>
      </c>
      <c r="B76" s="1100">
        <f>K16</f>
        <v>5</v>
      </c>
      <c r="C76" s="1101"/>
      <c r="D76" s="1101"/>
      <c r="E76" s="1102"/>
      <c r="O76" s="506">
        <v>1.1259999999999999</v>
      </c>
      <c r="P76" s="507">
        <v>12</v>
      </c>
      <c r="Q76" s="508">
        <v>0.92900000000000005</v>
      </c>
      <c r="R76" s="509">
        <v>12</v>
      </c>
      <c r="S76" s="508">
        <v>0.88</v>
      </c>
      <c r="T76" s="505">
        <v>12</v>
      </c>
      <c r="U76" s="510">
        <v>0.86699999999999999</v>
      </c>
      <c r="V76" s="505">
        <v>12</v>
      </c>
      <c r="W76" s="508">
        <v>0.86099999999999999</v>
      </c>
      <c r="X76" s="505">
        <v>12</v>
      </c>
    </row>
    <row r="77" spans="1:24" ht="24.95" customHeight="1" x14ac:dyDescent="0.2">
      <c r="A77" s="367" t="s">
        <v>336</v>
      </c>
      <c r="B77" s="1100">
        <f>K18</f>
        <v>5</v>
      </c>
      <c r="C77" s="1101"/>
      <c r="D77" s="1101"/>
      <c r="E77" s="1102"/>
      <c r="O77" s="499">
        <v>1.5</v>
      </c>
      <c r="P77" s="500">
        <v>13</v>
      </c>
      <c r="Q77" s="501">
        <v>0.98699999999999999</v>
      </c>
      <c r="R77" s="502">
        <v>13</v>
      </c>
      <c r="S77" s="501">
        <v>0.92500000000000004</v>
      </c>
      <c r="T77" s="503">
        <v>13</v>
      </c>
      <c r="U77" s="504">
        <v>0.91</v>
      </c>
      <c r="V77" s="503">
        <v>13</v>
      </c>
      <c r="W77" s="501">
        <v>0.90300000000000002</v>
      </c>
      <c r="X77" s="503">
        <v>13</v>
      </c>
    </row>
    <row r="78" spans="1:24" ht="24.95" customHeight="1" x14ac:dyDescent="0.2">
      <c r="A78" s="477" t="s">
        <v>341</v>
      </c>
      <c r="B78" s="1139">
        <f>SQRT(((1/B76)*((B75-((B77-1)/B77)*B74))))</f>
        <v>0.79619093187501477</v>
      </c>
      <c r="C78" s="1139"/>
      <c r="D78" s="1139"/>
      <c r="E78" s="1140"/>
      <c r="O78" s="499">
        <v>2.1749999999999998</v>
      </c>
      <c r="P78" s="500">
        <v>12</v>
      </c>
      <c r="Q78" s="501">
        <v>1.0449999999999999</v>
      </c>
      <c r="R78" s="502">
        <v>14</v>
      </c>
      <c r="S78" s="501">
        <v>0.96799999999999997</v>
      </c>
      <c r="T78" s="503">
        <v>14</v>
      </c>
      <c r="U78" s="504">
        <v>0.94899999999999995</v>
      </c>
      <c r="V78" s="503">
        <v>14</v>
      </c>
      <c r="W78" s="501">
        <v>0.94099999999999995</v>
      </c>
      <c r="X78" s="503">
        <v>14</v>
      </c>
    </row>
    <row r="79" spans="1:24" ht="30" customHeight="1" x14ac:dyDescent="0.2">
      <c r="A79" s="383"/>
      <c r="B79" s="388"/>
      <c r="C79" s="388"/>
      <c r="D79" s="388"/>
      <c r="E79" s="389"/>
      <c r="O79" s="506">
        <v>2.8319999999999999</v>
      </c>
      <c r="P79" s="507">
        <v>11</v>
      </c>
      <c r="Q79" s="508">
        <v>1.1040000000000001</v>
      </c>
      <c r="R79" s="509">
        <v>15</v>
      </c>
      <c r="S79" s="508">
        <v>1.008</v>
      </c>
      <c r="T79" s="505">
        <v>15</v>
      </c>
      <c r="U79" s="510">
        <v>0.98699999999999999</v>
      </c>
      <c r="V79" s="505">
        <v>15</v>
      </c>
      <c r="W79" s="508">
        <v>0.97699999999999998</v>
      </c>
      <c r="X79" s="505">
        <v>15</v>
      </c>
    </row>
    <row r="80" spans="1:24" ht="30" customHeight="1" x14ac:dyDescent="0.4">
      <c r="A80" s="383" t="s">
        <v>380</v>
      </c>
      <c r="B80" s="390">
        <v>1</v>
      </c>
      <c r="C80" s="391" t="s">
        <v>334</v>
      </c>
      <c r="D80" s="391" t="s">
        <v>332</v>
      </c>
      <c r="E80" s="392" t="s">
        <v>335</v>
      </c>
      <c r="O80" s="499">
        <v>4.149</v>
      </c>
      <c r="P80" s="500">
        <v>10</v>
      </c>
      <c r="Q80" s="501">
        <v>1.1639999999999999</v>
      </c>
      <c r="R80" s="502">
        <v>16</v>
      </c>
      <c r="S80" s="501">
        <v>1.0469999999999999</v>
      </c>
      <c r="T80" s="503">
        <v>16</v>
      </c>
      <c r="U80" s="504">
        <v>1.022</v>
      </c>
      <c r="V80" s="503">
        <v>16</v>
      </c>
      <c r="W80" s="501">
        <v>1.01</v>
      </c>
      <c r="X80" s="503">
        <v>16</v>
      </c>
    </row>
    <row r="81" spans="1:24" ht="30" customHeight="1" x14ac:dyDescent="0.2">
      <c r="A81" s="393"/>
      <c r="B81" s="394" t="s">
        <v>330</v>
      </c>
      <c r="C81" s="391"/>
      <c r="D81" s="388" t="s">
        <v>333</v>
      </c>
      <c r="E81" s="395"/>
      <c r="O81" s="519"/>
      <c r="P81" s="520"/>
      <c r="Q81" s="501">
        <v>1.2270000000000001</v>
      </c>
      <c r="R81" s="502">
        <v>17</v>
      </c>
      <c r="S81" s="501">
        <v>1.0840000000000001</v>
      </c>
      <c r="T81" s="503">
        <v>17</v>
      </c>
      <c r="U81" s="504">
        <v>1.0549999999999999</v>
      </c>
      <c r="V81" s="503">
        <v>17</v>
      </c>
      <c r="W81" s="501">
        <v>1.042</v>
      </c>
      <c r="X81" s="503">
        <v>17</v>
      </c>
    </row>
    <row r="82" spans="1:24" ht="30" customHeight="1" x14ac:dyDescent="0.2">
      <c r="A82" s="396"/>
      <c r="B82" s="397"/>
      <c r="C82" s="397"/>
      <c r="D82" s="397"/>
      <c r="E82" s="398"/>
      <c r="O82" s="519"/>
      <c r="P82" s="520"/>
      <c r="Q82" s="508">
        <v>1.2949999999999999</v>
      </c>
      <c r="R82" s="509">
        <v>18</v>
      </c>
      <c r="S82" s="508">
        <v>1.119</v>
      </c>
      <c r="T82" s="505">
        <v>18</v>
      </c>
      <c r="U82" s="510">
        <v>1.0860000000000001</v>
      </c>
      <c r="V82" s="505">
        <v>18</v>
      </c>
      <c r="W82" s="508">
        <v>1.0720000000000001</v>
      </c>
      <c r="X82" s="505">
        <v>18</v>
      </c>
    </row>
    <row r="83" spans="1:24" ht="24.95" customHeight="1" x14ac:dyDescent="0.2">
      <c r="A83" s="385"/>
      <c r="B83" s="105"/>
      <c r="C83" s="165"/>
      <c r="D83" s="165"/>
      <c r="E83" s="165"/>
      <c r="F83" s="51"/>
      <c r="O83" s="519"/>
      <c r="P83" s="520"/>
      <c r="Q83" s="501">
        <v>1.369</v>
      </c>
      <c r="R83" s="502">
        <v>19</v>
      </c>
      <c r="S83" s="501">
        <v>1.1539999999999999</v>
      </c>
      <c r="T83" s="503">
        <v>19</v>
      </c>
      <c r="U83" s="504">
        <v>1.117</v>
      </c>
      <c r="V83" s="503">
        <v>19</v>
      </c>
      <c r="W83" s="501">
        <v>1.101</v>
      </c>
      <c r="X83" s="503">
        <v>19</v>
      </c>
    </row>
    <row r="84" spans="1:24" ht="30" customHeight="1" x14ac:dyDescent="0.2">
      <c r="A84" s="1085" t="s">
        <v>342</v>
      </c>
      <c r="B84" s="1086"/>
      <c r="C84" s="1086"/>
      <c r="D84" s="1086"/>
      <c r="E84" s="1087"/>
      <c r="O84" s="519"/>
      <c r="P84" s="520"/>
      <c r="Q84" s="508">
        <v>1.4550000000000001</v>
      </c>
      <c r="R84" s="509">
        <v>20</v>
      </c>
      <c r="S84" s="508">
        <v>1.1879999999999999</v>
      </c>
      <c r="T84" s="505">
        <v>20</v>
      </c>
      <c r="U84" s="510">
        <v>1.1459999999999999</v>
      </c>
      <c r="V84" s="505">
        <v>20</v>
      </c>
      <c r="W84" s="508">
        <v>1.1279999999999999</v>
      </c>
      <c r="X84" s="505">
        <v>20</v>
      </c>
    </row>
    <row r="85" spans="1:24" ht="24.95" customHeight="1" x14ac:dyDescent="0.2">
      <c r="A85" s="367" t="s">
        <v>211</v>
      </c>
      <c r="B85" s="1088">
        <f>F23</f>
        <v>4.5</v>
      </c>
      <c r="C85" s="1089"/>
      <c r="D85" s="1089"/>
      <c r="E85" s="1090"/>
      <c r="O85" s="519"/>
      <c r="P85" s="520"/>
      <c r="Q85" s="501">
        <v>1.5609999999999999</v>
      </c>
      <c r="R85" s="502">
        <v>21</v>
      </c>
      <c r="S85" s="501">
        <v>1.2210000000000001</v>
      </c>
      <c r="T85" s="503">
        <v>21</v>
      </c>
      <c r="U85" s="504">
        <v>1.1739999999999999</v>
      </c>
      <c r="V85" s="503">
        <v>21</v>
      </c>
      <c r="W85" s="501">
        <v>1.1539999999999999</v>
      </c>
      <c r="X85" s="503">
        <v>21</v>
      </c>
    </row>
    <row r="86" spans="1:24" ht="24.95" customHeight="1" x14ac:dyDescent="0.2">
      <c r="A86" s="367" t="s">
        <v>212</v>
      </c>
      <c r="B86" s="1088">
        <f>F24</f>
        <v>43</v>
      </c>
      <c r="C86" s="1089"/>
      <c r="D86" s="1089"/>
      <c r="E86" s="1090"/>
      <c r="O86" s="519"/>
      <c r="P86" s="520"/>
      <c r="Q86" s="508">
        <v>1.7110000000000001</v>
      </c>
      <c r="R86" s="509">
        <v>22</v>
      </c>
      <c r="S86" s="508">
        <v>1.2529999999999999</v>
      </c>
      <c r="T86" s="505">
        <v>22</v>
      </c>
      <c r="U86" s="510">
        <v>1.2010000000000001</v>
      </c>
      <c r="V86" s="505">
        <v>22</v>
      </c>
      <c r="W86" s="508">
        <v>1.179</v>
      </c>
      <c r="X86" s="505">
        <v>22</v>
      </c>
    </row>
    <row r="87" spans="1:24" ht="24.95" customHeight="1" x14ac:dyDescent="0.2">
      <c r="A87" s="478" t="s">
        <v>733</v>
      </c>
      <c r="B87" s="1097">
        <f>(B85/SQRT(B86))</f>
        <v>0.68624356649672102</v>
      </c>
      <c r="C87" s="1097"/>
      <c r="D87" s="1097"/>
      <c r="E87" s="1098"/>
      <c r="O87" s="519"/>
      <c r="P87" s="520"/>
      <c r="Q87" s="501">
        <v>2.1789999999999998</v>
      </c>
      <c r="R87" s="502">
        <v>23</v>
      </c>
      <c r="S87" s="501">
        <v>1.2849999999999999</v>
      </c>
      <c r="T87" s="503">
        <v>23</v>
      </c>
      <c r="U87" s="504">
        <v>1.2270000000000001</v>
      </c>
      <c r="V87" s="503">
        <v>23</v>
      </c>
      <c r="W87" s="501">
        <v>1.2030000000000001</v>
      </c>
      <c r="X87" s="503">
        <v>23</v>
      </c>
    </row>
    <row r="88" spans="1:24" ht="24.95" customHeight="1" thickBot="1" x14ac:dyDescent="0.25">
      <c r="A88" s="399" t="s">
        <v>734</v>
      </c>
      <c r="B88" s="1097"/>
      <c r="C88" s="1097"/>
      <c r="D88" s="1097"/>
      <c r="E88" s="1098"/>
      <c r="O88" s="519"/>
      <c r="P88" s="520"/>
      <c r="Q88" s="508">
        <v>3.121</v>
      </c>
      <c r="R88" s="509">
        <v>22</v>
      </c>
      <c r="S88" s="508">
        <v>1.3169999999999999</v>
      </c>
      <c r="T88" s="505">
        <v>24</v>
      </c>
      <c r="U88" s="510">
        <v>1.252</v>
      </c>
      <c r="V88" s="505">
        <v>24</v>
      </c>
      <c r="W88" s="508">
        <v>1.2270000000000001</v>
      </c>
      <c r="X88" s="505">
        <v>24</v>
      </c>
    </row>
    <row r="89" spans="1:24" s="3" customFormat="1" ht="24.95" customHeight="1" thickBot="1" x14ac:dyDescent="0.25">
      <c r="A89" s="402"/>
      <c r="B89" s="165"/>
      <c r="C89" s="165"/>
      <c r="D89" s="165"/>
      <c r="E89" s="165"/>
      <c r="O89" s="519"/>
      <c r="P89" s="520"/>
      <c r="Q89" s="501">
        <v>4.07</v>
      </c>
      <c r="R89" s="502">
        <v>21</v>
      </c>
      <c r="S89" s="501">
        <v>1.3480000000000001</v>
      </c>
      <c r="T89" s="503">
        <v>25</v>
      </c>
      <c r="U89" s="504">
        <v>1.2769999999999999</v>
      </c>
      <c r="V89" s="503">
        <v>25</v>
      </c>
      <c r="W89" s="501">
        <v>1.2490000000000001</v>
      </c>
      <c r="X89" s="503">
        <v>25</v>
      </c>
    </row>
    <row r="90" spans="1:24" s="3" customFormat="1" ht="39.950000000000003" customHeight="1" x14ac:dyDescent="0.2">
      <c r="A90" s="1165" t="s">
        <v>368</v>
      </c>
      <c r="B90" s="1166"/>
      <c r="C90" s="1166"/>
      <c r="D90" s="1166"/>
      <c r="E90" s="1167"/>
      <c r="O90" s="519"/>
      <c r="P90" s="520"/>
      <c r="Q90" s="501">
        <v>5.99</v>
      </c>
      <c r="R90" s="502">
        <v>20</v>
      </c>
      <c r="S90" s="501">
        <v>1.379</v>
      </c>
      <c r="T90" s="503">
        <v>26</v>
      </c>
      <c r="U90" s="504">
        <v>1.3009999999999999</v>
      </c>
      <c r="V90" s="503">
        <v>26</v>
      </c>
      <c r="W90" s="501">
        <v>1.2709999999999999</v>
      </c>
      <c r="X90" s="503">
        <v>26</v>
      </c>
    </row>
    <row r="91" spans="1:24" s="3" customFormat="1" ht="30" customHeight="1" x14ac:dyDescent="0.25">
      <c r="A91" s="477" t="s">
        <v>343</v>
      </c>
      <c r="B91" s="1088">
        <f>B78</f>
        <v>0.79619093187501477</v>
      </c>
      <c r="C91" s="1089"/>
      <c r="D91" s="1089"/>
      <c r="E91" s="1090"/>
      <c r="O91" s="519"/>
      <c r="P91" s="520"/>
      <c r="Q91" s="521"/>
      <c r="R91" s="522"/>
      <c r="S91" s="501">
        <v>1.41</v>
      </c>
      <c r="T91" s="503">
        <v>27</v>
      </c>
      <c r="U91" s="504">
        <v>1.325</v>
      </c>
      <c r="V91" s="503">
        <v>27</v>
      </c>
      <c r="W91" s="501">
        <v>1.292</v>
      </c>
      <c r="X91" s="503">
        <v>27</v>
      </c>
    </row>
    <row r="92" spans="1:24" s="3" customFormat="1" ht="24.95" customHeight="1" x14ac:dyDescent="0.25">
      <c r="A92" s="400" t="s">
        <v>344</v>
      </c>
      <c r="B92" s="1088">
        <f>B87</f>
        <v>0.68624356649672102</v>
      </c>
      <c r="C92" s="1089"/>
      <c r="D92" s="1089"/>
      <c r="E92" s="1090"/>
      <c r="O92" s="519"/>
      <c r="P92" s="520"/>
      <c r="Q92" s="521"/>
      <c r="R92" s="522"/>
      <c r="S92" s="508">
        <v>1.4410000000000001</v>
      </c>
      <c r="T92" s="505">
        <v>28</v>
      </c>
      <c r="U92" s="510">
        <v>1.3480000000000001</v>
      </c>
      <c r="V92" s="505">
        <v>28</v>
      </c>
      <c r="W92" s="508">
        <v>1.3129999999999999</v>
      </c>
      <c r="X92" s="505">
        <v>28</v>
      </c>
    </row>
    <row r="93" spans="1:24" s="3" customFormat="1" ht="24.95" customHeight="1" x14ac:dyDescent="0.25">
      <c r="A93" s="400" t="s">
        <v>345</v>
      </c>
      <c r="B93" s="1091">
        <f>SQRT((B91)^2+(B92)^2)</f>
        <v>1.051118562559973</v>
      </c>
      <c r="C93" s="1092"/>
      <c r="D93" s="1092"/>
      <c r="E93" s="1093"/>
      <c r="O93" s="519"/>
      <c r="P93" s="520"/>
      <c r="Q93" s="521"/>
      <c r="R93" s="522"/>
      <c r="S93" s="501">
        <v>1.472</v>
      </c>
      <c r="T93" s="503">
        <v>29</v>
      </c>
      <c r="U93" s="504">
        <v>1.37</v>
      </c>
      <c r="V93" s="503">
        <v>29</v>
      </c>
      <c r="W93" s="501">
        <v>1.333</v>
      </c>
      <c r="X93" s="503">
        <v>29</v>
      </c>
    </row>
    <row r="94" spans="1:24" s="3" customFormat="1" ht="50.1" customHeight="1" x14ac:dyDescent="0.25">
      <c r="A94" s="401" t="s">
        <v>345</v>
      </c>
      <c r="B94" s="1094" t="s">
        <v>346</v>
      </c>
      <c r="C94" s="1095"/>
      <c r="D94" s="1095"/>
      <c r="E94" s="1096"/>
      <c r="O94" s="519"/>
      <c r="P94" s="520"/>
      <c r="Q94" s="521"/>
      <c r="R94" s="522"/>
      <c r="S94" s="501">
        <v>1.5029999999999999</v>
      </c>
      <c r="T94" s="503">
        <v>30</v>
      </c>
      <c r="U94" s="504">
        <v>1.393</v>
      </c>
      <c r="V94" s="503">
        <v>30</v>
      </c>
      <c r="W94" s="501">
        <v>1.3520000000000001</v>
      </c>
      <c r="X94" s="503">
        <v>30</v>
      </c>
    </row>
    <row r="95" spans="1:24" s="3" customFormat="1" ht="24.95" customHeight="1" x14ac:dyDescent="0.25">
      <c r="A95" s="402"/>
      <c r="B95" s="165"/>
      <c r="C95" s="165"/>
      <c r="D95" s="165"/>
      <c r="E95" s="165"/>
      <c r="H95" s="1"/>
      <c r="I95" s="1"/>
      <c r="J95" s="1"/>
      <c r="K95" s="1"/>
      <c r="O95" s="519"/>
      <c r="P95" s="520"/>
      <c r="Q95" s="521"/>
      <c r="R95" s="522"/>
      <c r="S95" s="501">
        <v>1.85</v>
      </c>
      <c r="T95" s="503">
        <v>40</v>
      </c>
      <c r="U95" s="504">
        <v>1.5980000000000001</v>
      </c>
      <c r="V95" s="503">
        <v>40</v>
      </c>
      <c r="W95" s="501">
        <v>1.5269999999999999</v>
      </c>
      <c r="X95" s="503">
        <v>40</v>
      </c>
    </row>
    <row r="96" spans="1:24" ht="30" customHeight="1" x14ac:dyDescent="0.2">
      <c r="A96" s="1030" t="s">
        <v>369</v>
      </c>
      <c r="B96" s="1031"/>
      <c r="C96" s="1031"/>
      <c r="D96" s="1031"/>
      <c r="E96" s="1032"/>
      <c r="O96" s="519"/>
      <c r="P96" s="520"/>
      <c r="Q96" s="523"/>
      <c r="R96" s="524"/>
      <c r="S96" s="501">
        <v>3.5</v>
      </c>
      <c r="T96" s="503">
        <v>53</v>
      </c>
      <c r="U96" s="504">
        <v>1.9850000000000001</v>
      </c>
      <c r="V96" s="503">
        <v>60</v>
      </c>
      <c r="W96" s="501">
        <v>1.8080000000000001</v>
      </c>
      <c r="X96" s="503">
        <v>60</v>
      </c>
    </row>
    <row r="97" spans="1:24" ht="50.1" customHeight="1" x14ac:dyDescent="0.2">
      <c r="A97" s="1030" t="s">
        <v>707</v>
      </c>
      <c r="B97" s="1031"/>
      <c r="C97" s="1031"/>
      <c r="D97" s="1031"/>
      <c r="E97" s="1032"/>
      <c r="O97" s="519"/>
      <c r="P97" s="520"/>
      <c r="Q97" s="523"/>
      <c r="R97" s="524"/>
      <c r="S97" s="523"/>
      <c r="T97" s="523"/>
      <c r="U97" s="504">
        <v>4.9749999999999996</v>
      </c>
      <c r="V97" s="503">
        <v>103</v>
      </c>
      <c r="W97" s="501">
        <v>2.528</v>
      </c>
      <c r="X97" s="503">
        <v>120</v>
      </c>
    </row>
    <row r="98" spans="1:24" ht="30" customHeight="1" x14ac:dyDescent="0.2">
      <c r="A98" s="1038" t="s">
        <v>737</v>
      </c>
      <c r="B98" s="1031"/>
      <c r="C98" s="1031"/>
      <c r="D98" s="1031"/>
      <c r="E98" s="1031"/>
      <c r="O98" s="519"/>
      <c r="P98" s="520"/>
      <c r="Q98" s="523"/>
      <c r="R98" s="524"/>
      <c r="S98" s="523"/>
      <c r="T98" s="523"/>
      <c r="U98" s="525"/>
      <c r="V98" s="525"/>
      <c r="W98" s="508">
        <v>7.0529999999999999</v>
      </c>
      <c r="X98" s="505">
        <v>203</v>
      </c>
    </row>
    <row r="99" spans="1:24" ht="39.950000000000003" customHeight="1" x14ac:dyDescent="0.2">
      <c r="A99" s="1010" t="s">
        <v>363</v>
      </c>
      <c r="B99" s="1016"/>
      <c r="C99" s="1016"/>
      <c r="D99" s="1016"/>
      <c r="E99" s="1103"/>
      <c r="O99" s="526" t="s">
        <v>361</v>
      </c>
      <c r="P99" s="503">
        <v>9</v>
      </c>
      <c r="Q99" s="501" t="s">
        <v>361</v>
      </c>
      <c r="R99" s="502">
        <v>19</v>
      </c>
      <c r="S99" s="501" t="s">
        <v>361</v>
      </c>
      <c r="T99" s="503">
        <v>49</v>
      </c>
      <c r="U99" s="527" t="s">
        <v>361</v>
      </c>
      <c r="V99" s="528">
        <v>99</v>
      </c>
      <c r="W99" s="501" t="s">
        <v>361</v>
      </c>
      <c r="X99" s="503">
        <v>199</v>
      </c>
    </row>
    <row r="100" spans="1:24" ht="39.950000000000003" customHeight="1" x14ac:dyDescent="0.45">
      <c r="A100" s="387" t="s">
        <v>343</v>
      </c>
      <c r="B100" s="1088">
        <f>B78</f>
        <v>0.79619093187501477</v>
      </c>
      <c r="C100" s="1089"/>
      <c r="D100" s="1089"/>
      <c r="E100" s="1090"/>
    </row>
    <row r="101" spans="1:24" ht="24" x14ac:dyDescent="0.2">
      <c r="A101" s="403" t="s">
        <v>344</v>
      </c>
      <c r="B101" s="1088">
        <f>B87</f>
        <v>0.68624356649672102</v>
      </c>
      <c r="C101" s="1089"/>
      <c r="D101" s="1089"/>
      <c r="E101" s="1099"/>
      <c r="G101" s="468"/>
      <c r="H101" s="8"/>
      <c r="I101" s="8"/>
      <c r="J101" s="8"/>
      <c r="K101" s="8"/>
      <c r="L101" s="8"/>
    </row>
    <row r="102" spans="1:24" ht="33" customHeight="1" x14ac:dyDescent="0.2">
      <c r="A102" s="400" t="s">
        <v>350</v>
      </c>
      <c r="B102" s="1091">
        <f>B101/B100</f>
        <v>0.86190829237483302</v>
      </c>
      <c r="C102" s="1092"/>
      <c r="D102" s="1092"/>
      <c r="E102" s="1093"/>
      <c r="F102" s="468"/>
    </row>
    <row r="103" spans="1:24" ht="24.95" customHeight="1" x14ac:dyDescent="0.45">
      <c r="A103" s="1199" t="s">
        <v>350</v>
      </c>
      <c r="B103" s="1196" t="s">
        <v>352</v>
      </c>
      <c r="C103" s="1197"/>
      <c r="D103" s="1197"/>
      <c r="E103" s="1198"/>
      <c r="F103" s="468"/>
    </row>
    <row r="104" spans="1:24" s="3" customFormat="1" ht="24.95" customHeight="1" thickBot="1" x14ac:dyDescent="0.25">
      <c r="A104" s="1200"/>
      <c r="B104" s="1082" t="s">
        <v>351</v>
      </c>
      <c r="C104" s="1083"/>
      <c r="D104" s="1083"/>
      <c r="E104" s="1084"/>
      <c r="F104" s="468"/>
      <c r="N104" s="87"/>
      <c r="O104" s="87"/>
      <c r="P104" s="87"/>
      <c r="Q104" s="87"/>
      <c r="R104" s="87"/>
      <c r="S104" s="87"/>
      <c r="T104" s="87"/>
      <c r="U104" s="87"/>
      <c r="V104" s="87"/>
    </row>
    <row r="105" spans="1:24" s="3" customFormat="1" ht="20.100000000000001" customHeight="1" x14ac:dyDescent="0.2">
      <c r="A105" s="402"/>
      <c r="B105" s="165"/>
      <c r="C105" s="165"/>
      <c r="D105" s="165"/>
      <c r="E105" s="165"/>
      <c r="F105" s="468"/>
      <c r="U105" s="1"/>
      <c r="V105" s="1"/>
    </row>
    <row r="106" spans="1:24" s="3" customFormat="1" ht="37.5" customHeight="1" x14ac:dyDescent="0.25">
      <c r="A106" s="402"/>
      <c r="B106" s="165"/>
      <c r="C106" s="165"/>
      <c r="D106" s="165"/>
      <c r="E106" s="165"/>
      <c r="F106" s="468"/>
      <c r="N106" s="88"/>
      <c r="O106" s="1"/>
      <c r="P106" s="1"/>
      <c r="Q106" s="1"/>
      <c r="R106" s="1"/>
      <c r="S106" s="1"/>
      <c r="T106" s="1"/>
      <c r="U106" s="529"/>
      <c r="V106" s="529"/>
    </row>
    <row r="107" spans="1:24" s="3" customFormat="1" ht="24.95" customHeight="1" x14ac:dyDescent="0.2">
      <c r="A107" s="402"/>
      <c r="B107" s="165"/>
      <c r="C107" s="165"/>
      <c r="D107" s="165"/>
      <c r="E107" s="165"/>
      <c r="F107" s="468"/>
      <c r="N107" s="89"/>
      <c r="O107" s="1017"/>
      <c r="P107" s="1017"/>
      <c r="Q107" s="1017"/>
      <c r="R107" s="1017"/>
      <c r="S107" s="1017"/>
      <c r="T107" s="1017"/>
      <c r="U107" s="1017"/>
      <c r="V107" s="1017"/>
    </row>
    <row r="108" spans="1:24" s="3" customFormat="1" ht="37.5" customHeight="1" x14ac:dyDescent="0.2">
      <c r="A108" s="1030" t="s">
        <v>704</v>
      </c>
      <c r="B108" s="1031"/>
      <c r="C108" s="1031"/>
      <c r="D108" s="1031"/>
      <c r="E108" s="1032"/>
      <c r="F108" s="468"/>
      <c r="O108" s="1159" t="s">
        <v>675</v>
      </c>
      <c r="P108" s="1159"/>
      <c r="Q108" s="1159"/>
      <c r="R108" s="1159"/>
      <c r="S108" s="1159"/>
      <c r="T108" s="1159"/>
      <c r="U108" s="1159"/>
      <c r="V108" s="1159"/>
      <c r="W108" s="1159"/>
    </row>
    <row r="109" spans="1:24" s="3" customFormat="1" ht="37.5" customHeight="1" x14ac:dyDescent="0.2">
      <c r="A109" s="1030" t="s">
        <v>705</v>
      </c>
      <c r="B109" s="1031"/>
      <c r="C109" s="1031"/>
      <c r="D109" s="1031"/>
      <c r="E109" s="1032"/>
      <c r="F109" s="468"/>
      <c r="O109" s="1160" t="s">
        <v>678</v>
      </c>
      <c r="P109" s="1160"/>
      <c r="Q109" s="1160"/>
      <c r="R109" s="1160"/>
      <c r="S109" s="1160"/>
      <c r="T109" s="1160"/>
      <c r="U109" s="1160"/>
      <c r="V109" s="1160"/>
      <c r="W109" s="1160"/>
    </row>
    <row r="110" spans="1:24" s="3" customFormat="1" ht="50.1" customHeight="1" x14ac:dyDescent="0.2">
      <c r="A110" s="1038" t="s">
        <v>706</v>
      </c>
      <c r="B110" s="1031"/>
      <c r="C110" s="1031"/>
      <c r="D110" s="1031"/>
      <c r="E110" s="1032"/>
      <c r="F110" s="468"/>
    </row>
    <row r="111" spans="1:24" s="3" customFormat="1" ht="24.95" customHeight="1" x14ac:dyDescent="0.2">
      <c r="A111" s="367" t="s">
        <v>353</v>
      </c>
      <c r="B111" s="1033">
        <f>F24</f>
        <v>43</v>
      </c>
      <c r="C111" s="1033"/>
      <c r="D111" s="1033"/>
      <c r="E111" s="1034"/>
      <c r="F111" s="468"/>
      <c r="P111" s="530" t="s">
        <v>735</v>
      </c>
    </row>
    <row r="112" spans="1:24" s="3" customFormat="1" ht="24.95" customHeight="1" thickBot="1" x14ac:dyDescent="0.25">
      <c r="A112" s="404" t="s">
        <v>370</v>
      </c>
      <c r="B112" s="1035">
        <v>12</v>
      </c>
      <c r="C112" s="1036"/>
      <c r="D112" s="1036"/>
      <c r="E112" s="1037"/>
      <c r="F112" s="468"/>
      <c r="O112" s="531" t="s">
        <v>676</v>
      </c>
      <c r="P112" s="532" t="s">
        <v>381</v>
      </c>
      <c r="Q112" s="533" t="s">
        <v>382</v>
      </c>
      <c r="R112" s="532" t="s">
        <v>383</v>
      </c>
      <c r="S112" s="534" t="s">
        <v>384</v>
      </c>
      <c r="T112" s="532" t="s">
        <v>385</v>
      </c>
      <c r="U112" s="534" t="s">
        <v>386</v>
      </c>
      <c r="V112" s="532" t="s">
        <v>387</v>
      </c>
      <c r="W112" s="532" t="s">
        <v>388</v>
      </c>
    </row>
    <row r="113" spans="1:23" s="3" customFormat="1" ht="24.95" customHeight="1" thickBot="1" x14ac:dyDescent="0.25">
      <c r="A113" s="56"/>
      <c r="E113" s="50"/>
      <c r="F113" s="468"/>
      <c r="O113" s="531" t="s">
        <v>389</v>
      </c>
      <c r="P113" s="535">
        <v>1000</v>
      </c>
      <c r="Q113" s="536" t="s">
        <v>390</v>
      </c>
      <c r="R113" s="537" t="s">
        <v>391</v>
      </c>
      <c r="S113" s="538" t="s">
        <v>392</v>
      </c>
      <c r="T113" s="537" t="s">
        <v>393</v>
      </c>
      <c r="U113" s="539">
        <v>12706</v>
      </c>
      <c r="V113" s="535">
        <v>31821</v>
      </c>
      <c r="W113" s="535">
        <v>63657</v>
      </c>
    </row>
    <row r="114" spans="1:23" s="3" customFormat="1" ht="24.95" customHeight="1" x14ac:dyDescent="0.2">
      <c r="A114" s="1141" t="s">
        <v>703</v>
      </c>
      <c r="B114" s="1142"/>
      <c r="C114" s="1142"/>
      <c r="D114" s="1142"/>
      <c r="E114" s="1142"/>
      <c r="F114" s="169"/>
      <c r="G114" s="165"/>
      <c r="H114" s="165"/>
      <c r="I114" s="165"/>
      <c r="J114" s="165"/>
      <c r="K114" s="165"/>
      <c r="L114" s="165"/>
      <c r="O114" s="531" t="s">
        <v>394</v>
      </c>
      <c r="P114" s="537" t="s">
        <v>395</v>
      </c>
      <c r="Q114" s="536" t="s">
        <v>396</v>
      </c>
      <c r="R114" s="537" t="s">
        <v>397</v>
      </c>
      <c r="S114" s="538" t="s">
        <v>398</v>
      </c>
      <c r="T114" s="537" t="s">
        <v>399</v>
      </c>
      <c r="U114" s="538" t="s">
        <v>400</v>
      </c>
      <c r="V114" s="537" t="s">
        <v>401</v>
      </c>
      <c r="W114" s="537" t="s">
        <v>402</v>
      </c>
    </row>
    <row r="115" spans="1:23" s="3" customFormat="1" ht="24.95" customHeight="1" x14ac:dyDescent="0.2">
      <c r="A115" s="992"/>
      <c r="B115" s="993"/>
      <c r="C115" s="993"/>
      <c r="D115" s="993"/>
      <c r="E115" s="993"/>
      <c r="F115" s="169"/>
      <c r="G115" s="165"/>
      <c r="H115" s="165"/>
      <c r="I115" s="165"/>
      <c r="J115" s="165"/>
      <c r="K115" s="165"/>
      <c r="L115" s="165"/>
      <c r="O115" s="540" t="s">
        <v>403</v>
      </c>
      <c r="P115" s="541" t="s">
        <v>404</v>
      </c>
      <c r="Q115" s="542" t="s">
        <v>405</v>
      </c>
      <c r="R115" s="541" t="s">
        <v>406</v>
      </c>
      <c r="S115" s="543" t="s">
        <v>407</v>
      </c>
      <c r="T115" s="541" t="s">
        <v>408</v>
      </c>
      <c r="U115" s="543" t="s">
        <v>409</v>
      </c>
      <c r="V115" s="541" t="s">
        <v>410</v>
      </c>
      <c r="W115" s="541" t="s">
        <v>411</v>
      </c>
    </row>
    <row r="116" spans="1:23" s="3" customFormat="1" ht="24.95" customHeight="1" thickBot="1" x14ac:dyDescent="0.25">
      <c r="A116" s="480" t="s">
        <v>724</v>
      </c>
      <c r="B116" s="481">
        <v>0.05</v>
      </c>
      <c r="C116" s="482">
        <f>B116/1</f>
        <v>0.05</v>
      </c>
      <c r="D116" s="483"/>
      <c r="E116" s="484" t="s">
        <v>726</v>
      </c>
      <c r="F116" s="1050" t="s">
        <v>731</v>
      </c>
      <c r="G116" s="1051"/>
      <c r="H116" s="165"/>
      <c r="I116" s="165"/>
      <c r="J116" s="165"/>
      <c r="K116" s="228"/>
      <c r="L116" s="165"/>
      <c r="O116" s="531" t="s">
        <v>412</v>
      </c>
      <c r="P116" s="537" t="s">
        <v>413</v>
      </c>
      <c r="Q116" s="536" t="s">
        <v>414</v>
      </c>
      <c r="R116" s="537" t="s">
        <v>415</v>
      </c>
      <c r="S116" s="538" t="s">
        <v>416</v>
      </c>
      <c r="T116" s="537" t="s">
        <v>417</v>
      </c>
      <c r="U116" s="538" t="s">
        <v>418</v>
      </c>
      <c r="V116" s="537" t="s">
        <v>419</v>
      </c>
      <c r="W116" s="537" t="s">
        <v>420</v>
      </c>
    </row>
    <row r="117" spans="1:23" s="3" customFormat="1" ht="24.95" customHeight="1" x14ac:dyDescent="0.2">
      <c r="A117" s="406" t="s">
        <v>723</v>
      </c>
      <c r="B117" s="407">
        <v>2.5000000000000001E-2</v>
      </c>
      <c r="C117" s="461">
        <f>B117/1</f>
        <v>2.5000000000000001E-2</v>
      </c>
      <c r="D117" s="405"/>
      <c r="E117" s="165"/>
      <c r="F117" s="370"/>
      <c r="G117" s="165"/>
      <c r="H117" s="463"/>
      <c r="I117" s="165"/>
      <c r="J117" s="165"/>
      <c r="K117" s="165"/>
      <c r="L117" s="165"/>
      <c r="O117" s="544" t="s">
        <v>421</v>
      </c>
      <c r="P117" s="545" t="s">
        <v>422</v>
      </c>
      <c r="Q117" s="546" t="s">
        <v>423</v>
      </c>
      <c r="R117" s="545" t="s">
        <v>424</v>
      </c>
      <c r="S117" s="547" t="s">
        <v>425</v>
      </c>
      <c r="T117" s="545" t="s">
        <v>426</v>
      </c>
      <c r="U117" s="547" t="s">
        <v>427</v>
      </c>
      <c r="V117" s="545" t="s">
        <v>428</v>
      </c>
      <c r="W117" s="545" t="s">
        <v>429</v>
      </c>
    </row>
    <row r="118" spans="1:23" s="3" customFormat="1" ht="24.95" customHeight="1" x14ac:dyDescent="0.2">
      <c r="A118" s="406" t="s">
        <v>365</v>
      </c>
      <c r="B118" s="459">
        <v>1</v>
      </c>
      <c r="C118" s="460" t="s">
        <v>726</v>
      </c>
      <c r="D118" s="457" t="s">
        <v>716</v>
      </c>
      <c r="E118" s="458" t="s">
        <v>720</v>
      </c>
      <c r="F118" s="460" t="s">
        <v>738</v>
      </c>
      <c r="G118" s="1171" t="s">
        <v>739</v>
      </c>
      <c r="H118" s="1172"/>
      <c r="I118" s="165"/>
      <c r="J118" s="165"/>
      <c r="K118" s="165"/>
      <c r="L118" s="165"/>
      <c r="O118" s="531" t="s">
        <v>430</v>
      </c>
      <c r="P118" s="537" t="s">
        <v>431</v>
      </c>
      <c r="Q118" s="536" t="s">
        <v>432</v>
      </c>
      <c r="R118" s="537" t="s">
        <v>433</v>
      </c>
      <c r="S118" s="538" t="s">
        <v>434</v>
      </c>
      <c r="T118" s="537" t="s">
        <v>435</v>
      </c>
      <c r="U118" s="538" t="s">
        <v>436</v>
      </c>
      <c r="V118" s="537" t="s">
        <v>437</v>
      </c>
      <c r="W118" s="537" t="s">
        <v>438</v>
      </c>
    </row>
    <row r="119" spans="1:23" s="3" customFormat="1" ht="24.95" customHeight="1" x14ac:dyDescent="0.2">
      <c r="A119" s="408" t="s">
        <v>366</v>
      </c>
      <c r="B119" s="409">
        <v>1</v>
      </c>
      <c r="C119" s="410">
        <f>$B$118-($C$117/B119)</f>
        <v>0.97499999999999998</v>
      </c>
      <c r="D119" s="464">
        <f>2*E119</f>
        <v>5.0000000000000044</v>
      </c>
      <c r="E119" s="410">
        <f>($B$118-C119)*100</f>
        <v>2.5000000000000022</v>
      </c>
      <c r="F119" s="410">
        <f>E119/100</f>
        <v>2.5000000000000022E-2</v>
      </c>
      <c r="G119" s="1173">
        <f>F119*2</f>
        <v>5.0000000000000044E-2</v>
      </c>
      <c r="H119" s="1174"/>
      <c r="I119" s="1179" t="s">
        <v>727</v>
      </c>
      <c r="J119" s="1180"/>
      <c r="K119" s="165"/>
      <c r="L119" s="165"/>
      <c r="O119" s="540" t="s">
        <v>439</v>
      </c>
      <c r="P119" s="541" t="s">
        <v>440</v>
      </c>
      <c r="Q119" s="542" t="s">
        <v>441</v>
      </c>
      <c r="R119" s="541" t="s">
        <v>442</v>
      </c>
      <c r="S119" s="543" t="s">
        <v>443</v>
      </c>
      <c r="T119" s="541" t="s">
        <v>444</v>
      </c>
      <c r="U119" s="543" t="s">
        <v>445</v>
      </c>
      <c r="V119" s="541" t="s">
        <v>446</v>
      </c>
      <c r="W119" s="541" t="s">
        <v>447</v>
      </c>
    </row>
    <row r="120" spans="1:23" s="3" customFormat="1" ht="24.95" customHeight="1" x14ac:dyDescent="0.3">
      <c r="A120" s="408" t="s">
        <v>364</v>
      </c>
      <c r="B120" s="409">
        <v>2</v>
      </c>
      <c r="C120" s="410">
        <f t="shared" ref="C120:C123" si="0">$B$118-($C$117/B120)</f>
        <v>0.98750000000000004</v>
      </c>
      <c r="D120" s="410">
        <f>2*E120</f>
        <v>2.4999999999999911</v>
      </c>
      <c r="E120" s="410">
        <f>($B$118-C120)*100</f>
        <v>1.2499999999999956</v>
      </c>
      <c r="F120" s="410">
        <f>E120/100</f>
        <v>1.2499999999999956E-2</v>
      </c>
      <c r="G120" s="1173">
        <f>F120*2</f>
        <v>2.4999999999999911E-2</v>
      </c>
      <c r="H120" s="1174"/>
      <c r="I120" s="1181"/>
      <c r="J120" s="1182"/>
      <c r="K120" s="1185" t="s">
        <v>367</v>
      </c>
      <c r="L120" s="1185"/>
      <c r="O120" s="531" t="s">
        <v>448</v>
      </c>
      <c r="P120" s="537" t="s">
        <v>449</v>
      </c>
      <c r="Q120" s="536" t="s">
        <v>450</v>
      </c>
      <c r="R120" s="537" t="s">
        <v>451</v>
      </c>
      <c r="S120" s="538" t="s">
        <v>452</v>
      </c>
      <c r="T120" s="537" t="s">
        <v>453</v>
      </c>
      <c r="U120" s="538" t="s">
        <v>454</v>
      </c>
      <c r="V120" s="537" t="s">
        <v>455</v>
      </c>
      <c r="W120" s="537" t="s">
        <v>456</v>
      </c>
    </row>
    <row r="121" spans="1:23" s="3" customFormat="1" ht="24.95" customHeight="1" x14ac:dyDescent="0.2">
      <c r="A121" s="408" t="s">
        <v>364</v>
      </c>
      <c r="B121" s="409">
        <v>3</v>
      </c>
      <c r="C121" s="410">
        <f t="shared" si="0"/>
        <v>0.9916666666666667</v>
      </c>
      <c r="D121" s="464">
        <f>2*E121</f>
        <v>1.6666666666666607</v>
      </c>
      <c r="E121" s="410">
        <f>($B$118-C121)*100</f>
        <v>0.83333333333333037</v>
      </c>
      <c r="F121" s="410">
        <f>E121/100</f>
        <v>8.3333333333333037E-3</v>
      </c>
      <c r="G121" s="1173">
        <f>F121*2</f>
        <v>1.6666666666666607E-2</v>
      </c>
      <c r="H121" s="1174"/>
      <c r="I121" s="1181"/>
      <c r="J121" s="1182"/>
      <c r="K121" s="1186" t="s">
        <v>725</v>
      </c>
      <c r="L121" s="1187"/>
      <c r="O121" s="540" t="s">
        <v>457</v>
      </c>
      <c r="P121" s="541" t="s">
        <v>458</v>
      </c>
      <c r="Q121" s="542" t="s">
        <v>459</v>
      </c>
      <c r="R121" s="541" t="s">
        <v>460</v>
      </c>
      <c r="S121" s="543" t="s">
        <v>461</v>
      </c>
      <c r="T121" s="541" t="s">
        <v>462</v>
      </c>
      <c r="U121" s="543" t="s">
        <v>463</v>
      </c>
      <c r="V121" s="541" t="s">
        <v>464</v>
      </c>
      <c r="W121" s="541" t="s">
        <v>465</v>
      </c>
    </row>
    <row r="122" spans="1:23" s="3" customFormat="1" ht="24.95" customHeight="1" x14ac:dyDescent="0.2">
      <c r="A122" s="408" t="s">
        <v>364</v>
      </c>
      <c r="B122" s="409">
        <v>4</v>
      </c>
      <c r="C122" s="410">
        <f t="shared" si="0"/>
        <v>0.99375000000000002</v>
      </c>
      <c r="D122" s="410">
        <f>2*E122</f>
        <v>1.2499999999999956</v>
      </c>
      <c r="E122" s="410">
        <f>($B$118-C122)*100</f>
        <v>0.62499999999999778</v>
      </c>
      <c r="F122" s="410">
        <f>E122/100</f>
        <v>6.2499999999999778E-3</v>
      </c>
      <c r="G122" s="1173">
        <f>F122*2</f>
        <v>1.2499999999999956E-2</v>
      </c>
      <c r="H122" s="1174"/>
      <c r="I122" s="1181"/>
      <c r="J122" s="1182"/>
      <c r="K122" s="1186"/>
      <c r="L122" s="1187"/>
      <c r="O122" s="531" t="s">
        <v>466</v>
      </c>
      <c r="P122" s="537" t="s">
        <v>467</v>
      </c>
      <c r="Q122" s="536" t="s">
        <v>468</v>
      </c>
      <c r="R122" s="537" t="s">
        <v>469</v>
      </c>
      <c r="S122" s="538" t="s">
        <v>470</v>
      </c>
      <c r="T122" s="537" t="s">
        <v>471</v>
      </c>
      <c r="U122" s="538" t="s">
        <v>472</v>
      </c>
      <c r="V122" s="537" t="s">
        <v>473</v>
      </c>
      <c r="W122" s="537" t="s">
        <v>474</v>
      </c>
    </row>
    <row r="123" spans="1:23" s="3" customFormat="1" ht="24.95" customHeight="1" thickBot="1" x14ac:dyDescent="0.25">
      <c r="A123" s="411" t="s">
        <v>364</v>
      </c>
      <c r="B123" s="412">
        <v>5</v>
      </c>
      <c r="C123" s="456">
        <f t="shared" si="0"/>
        <v>0.995</v>
      </c>
      <c r="D123" s="465">
        <f>2*E123</f>
        <v>1.0000000000000009</v>
      </c>
      <c r="E123" s="410">
        <f>($B$118-C123)*100</f>
        <v>0.50000000000000044</v>
      </c>
      <c r="F123" s="456">
        <f>E123/100</f>
        <v>5.0000000000000044E-3</v>
      </c>
      <c r="G123" s="1175">
        <f>F123*2</f>
        <v>1.0000000000000009E-2</v>
      </c>
      <c r="H123" s="1176"/>
      <c r="I123" s="1183"/>
      <c r="J123" s="1184"/>
      <c r="K123" s="165"/>
      <c r="L123" s="165"/>
      <c r="O123" s="540" t="s">
        <v>475</v>
      </c>
      <c r="P123" s="541" t="s">
        <v>476</v>
      </c>
      <c r="Q123" s="542" t="s">
        <v>477</v>
      </c>
      <c r="R123" s="541" t="s">
        <v>478</v>
      </c>
      <c r="S123" s="543" t="s">
        <v>479</v>
      </c>
      <c r="T123" s="541" t="s">
        <v>480</v>
      </c>
      <c r="U123" s="543" t="s">
        <v>481</v>
      </c>
      <c r="V123" s="541" t="s">
        <v>482</v>
      </c>
      <c r="W123" s="541" t="s">
        <v>483</v>
      </c>
    </row>
    <row r="124" spans="1:23" s="3" customFormat="1" ht="24.95" customHeight="1" x14ac:dyDescent="0.2">
      <c r="A124" s="56"/>
      <c r="B124" s="548"/>
      <c r="C124" s="16"/>
      <c r="D124" s="468"/>
      <c r="E124" s="468"/>
      <c r="F124" s="468"/>
      <c r="O124" s="531" t="s">
        <v>484</v>
      </c>
      <c r="P124" s="537" t="s">
        <v>485</v>
      </c>
      <c r="Q124" s="536" t="s">
        <v>486</v>
      </c>
      <c r="R124" s="537" t="s">
        <v>487</v>
      </c>
      <c r="S124" s="538" t="s">
        <v>488</v>
      </c>
      <c r="T124" s="537" t="s">
        <v>489</v>
      </c>
      <c r="U124" s="538" t="s">
        <v>490</v>
      </c>
      <c r="V124" s="537" t="s">
        <v>491</v>
      </c>
      <c r="W124" s="537" t="s">
        <v>492</v>
      </c>
    </row>
    <row r="125" spans="1:23" s="3" customFormat="1" ht="24.95" customHeight="1" x14ac:dyDescent="0.2">
      <c r="A125" s="1039" t="s">
        <v>740</v>
      </c>
      <c r="B125" s="1040"/>
      <c r="C125" s="1040"/>
      <c r="D125" s="1040"/>
      <c r="E125" s="1041"/>
      <c r="O125" s="540" t="s">
        <v>493</v>
      </c>
      <c r="P125" s="541" t="s">
        <v>494</v>
      </c>
      <c r="Q125" s="542" t="s">
        <v>495</v>
      </c>
      <c r="R125" s="541" t="s">
        <v>496</v>
      </c>
      <c r="S125" s="543" t="s">
        <v>497</v>
      </c>
      <c r="T125" s="541" t="s">
        <v>498</v>
      </c>
      <c r="U125" s="543" t="s">
        <v>499</v>
      </c>
      <c r="V125" s="541" t="s">
        <v>500</v>
      </c>
      <c r="W125" s="541" t="s">
        <v>501</v>
      </c>
    </row>
    <row r="126" spans="1:23" s="3" customFormat="1" ht="24.95" customHeight="1" x14ac:dyDescent="0.2">
      <c r="A126" s="1042"/>
      <c r="B126" s="993"/>
      <c r="C126" s="993"/>
      <c r="D126" s="993"/>
      <c r="E126" s="998"/>
      <c r="O126" s="531" t="s">
        <v>502</v>
      </c>
      <c r="P126" s="537" t="s">
        <v>503</v>
      </c>
      <c r="Q126" s="536" t="s">
        <v>504</v>
      </c>
      <c r="R126" s="537" t="s">
        <v>505</v>
      </c>
      <c r="S126" s="538" t="s">
        <v>506</v>
      </c>
      <c r="T126" s="537" t="s">
        <v>507</v>
      </c>
      <c r="U126" s="538" t="s">
        <v>508</v>
      </c>
      <c r="V126" s="537" t="s">
        <v>509</v>
      </c>
      <c r="W126" s="537" t="s">
        <v>510</v>
      </c>
    </row>
    <row r="127" spans="1:23" s="3" customFormat="1" ht="24.95" customHeight="1" x14ac:dyDescent="0.2">
      <c r="A127" s="455" t="s">
        <v>741</v>
      </c>
      <c r="B127" s="1170">
        <f>B112</f>
        <v>12</v>
      </c>
      <c r="C127" s="1033"/>
      <c r="D127" s="1033"/>
      <c r="E127" s="1034"/>
      <c r="O127" s="540" t="s">
        <v>511</v>
      </c>
      <c r="P127" s="541" t="s">
        <v>512</v>
      </c>
      <c r="Q127" s="542" t="s">
        <v>513</v>
      </c>
      <c r="R127" s="541" t="s">
        <v>514</v>
      </c>
      <c r="S127" s="543" t="s">
        <v>515</v>
      </c>
      <c r="T127" s="541" t="s">
        <v>516</v>
      </c>
      <c r="U127" s="543" t="s">
        <v>517</v>
      </c>
      <c r="V127" s="541" t="s">
        <v>518</v>
      </c>
      <c r="W127" s="541" t="s">
        <v>519</v>
      </c>
    </row>
    <row r="128" spans="1:23" s="3" customFormat="1" ht="31.5" customHeight="1" x14ac:dyDescent="0.2">
      <c r="A128" s="1208" t="s">
        <v>746</v>
      </c>
      <c r="B128" s="489" t="s">
        <v>743</v>
      </c>
      <c r="C128" s="490" t="s">
        <v>744</v>
      </c>
      <c r="D128" s="1201" t="s">
        <v>745</v>
      </c>
      <c r="E128" s="1202"/>
      <c r="O128" s="531" t="s">
        <v>520</v>
      </c>
      <c r="P128" s="537" t="s">
        <v>521</v>
      </c>
      <c r="Q128" s="536" t="s">
        <v>522</v>
      </c>
      <c r="R128" s="537" t="s">
        <v>523</v>
      </c>
      <c r="S128" s="538" t="s">
        <v>524</v>
      </c>
      <c r="T128" s="537" t="s">
        <v>525</v>
      </c>
      <c r="U128" s="538" t="s">
        <v>526</v>
      </c>
      <c r="V128" s="537" t="s">
        <v>527</v>
      </c>
      <c r="W128" s="537" t="s">
        <v>528</v>
      </c>
    </row>
    <row r="129" spans="1:23" s="3" customFormat="1" ht="24.95" customHeight="1" x14ac:dyDescent="0.2">
      <c r="A129" s="1209"/>
      <c r="B129" s="549">
        <f>C121</f>
        <v>0.9916666666666667</v>
      </c>
      <c r="C129" s="550">
        <f>B121</f>
        <v>3</v>
      </c>
      <c r="D129" s="1203">
        <f>F121</f>
        <v>8.3333333333333037E-3</v>
      </c>
      <c r="E129" s="1204"/>
      <c r="O129" s="540" t="s">
        <v>529</v>
      </c>
      <c r="P129" s="541" t="s">
        <v>530</v>
      </c>
      <c r="Q129" s="542" t="s">
        <v>531</v>
      </c>
      <c r="R129" s="541" t="s">
        <v>532</v>
      </c>
      <c r="S129" s="543" t="s">
        <v>533</v>
      </c>
      <c r="T129" s="541" t="s">
        <v>534</v>
      </c>
      <c r="U129" s="543" t="s">
        <v>535</v>
      </c>
      <c r="V129" s="541" t="s">
        <v>536</v>
      </c>
      <c r="W129" s="541" t="s">
        <v>537</v>
      </c>
    </row>
    <row r="130" spans="1:23" s="3" customFormat="1" ht="24.95" customHeight="1" x14ac:dyDescent="0.2">
      <c r="A130" s="455" t="s">
        <v>722</v>
      </c>
      <c r="B130" s="1043">
        <f>G121</f>
        <v>1.6666666666666607E-2</v>
      </c>
      <c r="C130" s="1044"/>
      <c r="D130" s="1044"/>
      <c r="E130" s="1045"/>
      <c r="O130" s="531" t="s">
        <v>538</v>
      </c>
      <c r="P130" s="537" t="s">
        <v>539</v>
      </c>
      <c r="Q130" s="536" t="s">
        <v>540</v>
      </c>
      <c r="R130" s="537" t="s">
        <v>541</v>
      </c>
      <c r="S130" s="538" t="s">
        <v>542</v>
      </c>
      <c r="T130" s="537" t="s">
        <v>543</v>
      </c>
      <c r="U130" s="538" t="s">
        <v>544</v>
      </c>
      <c r="V130" s="537" t="s">
        <v>545</v>
      </c>
      <c r="W130" s="537" t="s">
        <v>546</v>
      </c>
    </row>
    <row r="131" spans="1:23" s="3" customFormat="1" ht="24.95" customHeight="1" x14ac:dyDescent="0.2">
      <c r="A131" s="455" t="s">
        <v>742</v>
      </c>
      <c r="B131" s="551" t="s">
        <v>747</v>
      </c>
      <c r="C131" s="1177">
        <f>TINV(B130,B127)</f>
        <v>2.7794731017811003</v>
      </c>
      <c r="D131" s="1177"/>
      <c r="E131" s="1178"/>
      <c r="O131" s="540" t="s">
        <v>547</v>
      </c>
      <c r="P131" s="541" t="s">
        <v>539</v>
      </c>
      <c r="Q131" s="542" t="s">
        <v>548</v>
      </c>
      <c r="R131" s="541" t="s">
        <v>549</v>
      </c>
      <c r="S131" s="543" t="s">
        <v>550</v>
      </c>
      <c r="T131" s="541" t="s">
        <v>551</v>
      </c>
      <c r="U131" s="543" t="s">
        <v>552</v>
      </c>
      <c r="V131" s="541" t="s">
        <v>553</v>
      </c>
      <c r="W131" s="541" t="s">
        <v>554</v>
      </c>
    </row>
    <row r="132" spans="1:23" s="3" customFormat="1" ht="24.95" customHeight="1" x14ac:dyDescent="0.2">
      <c r="A132" s="56"/>
      <c r="F132" s="468"/>
      <c r="O132" s="531" t="s">
        <v>555</v>
      </c>
      <c r="P132" s="537" t="s">
        <v>556</v>
      </c>
      <c r="Q132" s="536" t="s">
        <v>557</v>
      </c>
      <c r="R132" s="537" t="s">
        <v>558</v>
      </c>
      <c r="S132" s="538" t="s">
        <v>559</v>
      </c>
      <c r="T132" s="537" t="s">
        <v>560</v>
      </c>
      <c r="U132" s="538" t="s">
        <v>561</v>
      </c>
      <c r="V132" s="537" t="s">
        <v>562</v>
      </c>
      <c r="W132" s="537" t="s">
        <v>563</v>
      </c>
    </row>
    <row r="133" spans="1:23" s="3" customFormat="1" ht="24.95" customHeight="1" x14ac:dyDescent="0.2">
      <c r="A133" s="1046" t="s">
        <v>371</v>
      </c>
      <c r="B133" s="1046"/>
      <c r="C133" s="1046"/>
      <c r="D133" s="1046"/>
      <c r="E133" s="1046"/>
      <c r="F133" s="468"/>
      <c r="O133" s="540" t="s">
        <v>564</v>
      </c>
      <c r="P133" s="541" t="s">
        <v>565</v>
      </c>
      <c r="Q133" s="542" t="s">
        <v>566</v>
      </c>
      <c r="R133" s="541" t="s">
        <v>567</v>
      </c>
      <c r="S133" s="543" t="s">
        <v>568</v>
      </c>
      <c r="T133" s="541" t="s">
        <v>569</v>
      </c>
      <c r="U133" s="543" t="s">
        <v>570</v>
      </c>
      <c r="V133" s="541" t="s">
        <v>571</v>
      </c>
      <c r="W133" s="541" t="s">
        <v>572</v>
      </c>
    </row>
    <row r="134" spans="1:23" s="3" customFormat="1" ht="24.95" customHeight="1" x14ac:dyDescent="0.2">
      <c r="A134" s="1047" t="s">
        <v>749</v>
      </c>
      <c r="B134" s="1047"/>
      <c r="C134" s="1047"/>
      <c r="D134" s="1047"/>
      <c r="E134" s="1047"/>
      <c r="F134" s="468"/>
      <c r="O134" s="531" t="s">
        <v>573</v>
      </c>
      <c r="P134" s="537" t="s">
        <v>565</v>
      </c>
      <c r="Q134" s="536" t="s">
        <v>574</v>
      </c>
      <c r="R134" s="537" t="s">
        <v>396</v>
      </c>
      <c r="S134" s="538" t="s">
        <v>575</v>
      </c>
      <c r="T134" s="537" t="s">
        <v>576</v>
      </c>
      <c r="U134" s="538" t="s">
        <v>577</v>
      </c>
      <c r="V134" s="537" t="s">
        <v>578</v>
      </c>
      <c r="W134" s="537" t="s">
        <v>579</v>
      </c>
    </row>
    <row r="135" spans="1:23" s="3" customFormat="1" ht="24.95" customHeight="1" x14ac:dyDescent="0.2">
      <c r="A135" s="413" t="s">
        <v>736</v>
      </c>
      <c r="B135" s="1023">
        <f>F20</f>
        <v>142.5</v>
      </c>
      <c r="C135" s="1024"/>
      <c r="D135" s="1024"/>
      <c r="E135" s="1025"/>
      <c r="F135" s="468"/>
      <c r="O135" s="540" t="s">
        <v>580</v>
      </c>
      <c r="P135" s="541" t="s">
        <v>581</v>
      </c>
      <c r="Q135" s="542" t="s">
        <v>574</v>
      </c>
      <c r="R135" s="541" t="s">
        <v>582</v>
      </c>
      <c r="S135" s="543" t="s">
        <v>583</v>
      </c>
      <c r="T135" s="541" t="s">
        <v>584</v>
      </c>
      <c r="U135" s="543" t="s">
        <v>585</v>
      </c>
      <c r="V135" s="541" t="s">
        <v>586</v>
      </c>
      <c r="W135" s="541" t="s">
        <v>587</v>
      </c>
    </row>
    <row r="136" spans="1:23" s="3" customFormat="1" ht="24.95" customHeight="1" x14ac:dyDescent="0.2">
      <c r="A136" s="414" t="s">
        <v>748</v>
      </c>
      <c r="B136" s="1018">
        <f>C131</f>
        <v>2.7794731017811003</v>
      </c>
      <c r="C136" s="1019"/>
      <c r="D136" s="1019"/>
      <c r="E136" s="1020"/>
      <c r="G136" s="47"/>
      <c r="H136" s="48"/>
      <c r="I136" s="54"/>
      <c r="J136" s="47"/>
      <c r="K136" s="47"/>
      <c r="L136" s="47"/>
      <c r="O136" s="531" t="s">
        <v>588</v>
      </c>
      <c r="P136" s="537" t="s">
        <v>581</v>
      </c>
      <c r="Q136" s="536" t="s">
        <v>589</v>
      </c>
      <c r="R136" s="537" t="s">
        <v>590</v>
      </c>
      <c r="S136" s="538" t="s">
        <v>591</v>
      </c>
      <c r="T136" s="537" t="s">
        <v>592</v>
      </c>
      <c r="U136" s="538" t="s">
        <v>593</v>
      </c>
      <c r="V136" s="537" t="s">
        <v>594</v>
      </c>
      <c r="W136" s="537" t="s">
        <v>595</v>
      </c>
    </row>
    <row r="137" spans="1:23" s="3" customFormat="1" ht="24.95" customHeight="1" x14ac:dyDescent="0.2">
      <c r="A137" s="414" t="s">
        <v>372</v>
      </c>
      <c r="B137" s="1021">
        <f>B93</f>
        <v>1.051118562559973</v>
      </c>
      <c r="C137" s="1021"/>
      <c r="D137" s="1021"/>
      <c r="E137" s="1022"/>
      <c r="H137" s="48"/>
      <c r="O137" s="540" t="s">
        <v>596</v>
      </c>
      <c r="P137" s="541" t="s">
        <v>597</v>
      </c>
      <c r="Q137" s="542" t="s">
        <v>598</v>
      </c>
      <c r="R137" s="541" t="s">
        <v>599</v>
      </c>
      <c r="S137" s="543" t="s">
        <v>600</v>
      </c>
      <c r="T137" s="541" t="s">
        <v>601</v>
      </c>
      <c r="U137" s="543" t="s">
        <v>602</v>
      </c>
      <c r="V137" s="541" t="s">
        <v>603</v>
      </c>
      <c r="W137" s="541" t="s">
        <v>604</v>
      </c>
    </row>
    <row r="138" spans="1:23" s="3" customFormat="1" ht="24.95" customHeight="1" x14ac:dyDescent="0.2">
      <c r="A138" s="414" t="s">
        <v>373</v>
      </c>
      <c r="B138" s="415">
        <f>B135</f>
        <v>142.5</v>
      </c>
      <c r="C138" s="416"/>
      <c r="D138" s="417">
        <f>C131</f>
        <v>2.7794731017811003</v>
      </c>
      <c r="E138" s="418">
        <f>B137</f>
        <v>1.051118562559973</v>
      </c>
      <c r="H138" s="48"/>
      <c r="O138" s="531" t="s">
        <v>605</v>
      </c>
      <c r="P138" s="537" t="s">
        <v>597</v>
      </c>
      <c r="Q138" s="536" t="s">
        <v>598</v>
      </c>
      <c r="R138" s="537" t="s">
        <v>599</v>
      </c>
      <c r="S138" s="538" t="s">
        <v>606</v>
      </c>
      <c r="T138" s="537" t="s">
        <v>607</v>
      </c>
      <c r="U138" s="538" t="s">
        <v>608</v>
      </c>
      <c r="V138" s="537" t="s">
        <v>609</v>
      </c>
      <c r="W138" s="537" t="s">
        <v>610</v>
      </c>
    </row>
    <row r="139" spans="1:23" ht="24.95" customHeight="1" x14ac:dyDescent="0.3">
      <c r="A139" s="414" t="s">
        <v>222</v>
      </c>
      <c r="B139" s="1026">
        <f>B135-(B136*B137)</f>
        <v>139.57844422858173</v>
      </c>
      <c r="C139" s="1027"/>
      <c r="D139" s="1027"/>
      <c r="E139" s="1028"/>
      <c r="H139" s="49"/>
      <c r="O139" s="540" t="s">
        <v>611</v>
      </c>
      <c r="P139" s="541" t="s">
        <v>597</v>
      </c>
      <c r="Q139" s="542" t="s">
        <v>612</v>
      </c>
      <c r="R139" s="541" t="s">
        <v>613</v>
      </c>
      <c r="S139" s="543" t="s">
        <v>614</v>
      </c>
      <c r="T139" s="541" t="s">
        <v>615</v>
      </c>
      <c r="U139" s="543" t="s">
        <v>616</v>
      </c>
      <c r="V139" s="541" t="s">
        <v>617</v>
      </c>
      <c r="W139" s="541" t="s">
        <v>618</v>
      </c>
    </row>
    <row r="140" spans="1:23" s="3" customFormat="1" ht="24.95" customHeight="1" thickBot="1" x14ac:dyDescent="0.35">
      <c r="A140" s="419" t="s">
        <v>223</v>
      </c>
      <c r="B140" s="1029">
        <f>B135+(B136*B137)</f>
        <v>145.42155577141827</v>
      </c>
      <c r="C140" s="1029"/>
      <c r="D140" s="1029"/>
      <c r="E140" s="1029"/>
      <c r="H140" s="48"/>
      <c r="O140" s="531" t="s">
        <v>619</v>
      </c>
      <c r="P140" s="537" t="s">
        <v>620</v>
      </c>
      <c r="Q140" s="536" t="s">
        <v>612</v>
      </c>
      <c r="R140" s="537" t="s">
        <v>621</v>
      </c>
      <c r="S140" s="538" t="s">
        <v>622</v>
      </c>
      <c r="T140" s="537" t="s">
        <v>623</v>
      </c>
      <c r="U140" s="538" t="s">
        <v>624</v>
      </c>
      <c r="V140" s="537" t="s">
        <v>625</v>
      </c>
      <c r="W140" s="537" t="s">
        <v>626</v>
      </c>
    </row>
    <row r="141" spans="1:23" s="3" customFormat="1" ht="24.95" customHeight="1" x14ac:dyDescent="0.2">
      <c r="A141" s="56"/>
      <c r="H141" s="48"/>
      <c r="O141" s="540" t="s">
        <v>627</v>
      </c>
      <c r="P141" s="541" t="s">
        <v>620</v>
      </c>
      <c r="Q141" s="542" t="s">
        <v>628</v>
      </c>
      <c r="R141" s="541" t="s">
        <v>629</v>
      </c>
      <c r="S141" s="543" t="s">
        <v>630</v>
      </c>
      <c r="T141" s="541" t="s">
        <v>631</v>
      </c>
      <c r="U141" s="543" t="s">
        <v>632</v>
      </c>
      <c r="V141" s="541" t="s">
        <v>633</v>
      </c>
      <c r="W141" s="541" t="s">
        <v>634</v>
      </c>
    </row>
    <row r="142" spans="1:23" s="3" customFormat="1" ht="35.1" customHeight="1" x14ac:dyDescent="0.2">
      <c r="A142" s="1134" t="s">
        <v>377</v>
      </c>
      <c r="B142" s="1135"/>
      <c r="C142" s="1135"/>
      <c r="D142" s="1135"/>
      <c r="E142" s="1136"/>
      <c r="F142" s="475"/>
      <c r="H142" s="48"/>
      <c r="O142" s="531" t="s">
        <v>635</v>
      </c>
      <c r="P142" s="537" t="s">
        <v>620</v>
      </c>
      <c r="Q142" s="536" t="s">
        <v>628</v>
      </c>
      <c r="R142" s="537" t="s">
        <v>629</v>
      </c>
      <c r="S142" s="538" t="s">
        <v>636</v>
      </c>
      <c r="T142" s="537" t="s">
        <v>637</v>
      </c>
      <c r="U142" s="538" t="s">
        <v>638</v>
      </c>
      <c r="V142" s="537" t="s">
        <v>639</v>
      </c>
      <c r="W142" s="537" t="s">
        <v>640</v>
      </c>
    </row>
    <row r="143" spans="1:23" s="3" customFormat="1" ht="35.1" customHeight="1" x14ac:dyDescent="0.2">
      <c r="A143" s="1138" t="s">
        <v>376</v>
      </c>
      <c r="B143" s="1138"/>
      <c r="C143" s="1138"/>
      <c r="D143" s="1138"/>
      <c r="E143" s="1138"/>
      <c r="H143" s="48"/>
      <c r="O143" s="540" t="s">
        <v>641</v>
      </c>
      <c r="P143" s="541" t="s">
        <v>642</v>
      </c>
      <c r="Q143" s="542" t="s">
        <v>643</v>
      </c>
      <c r="R143" s="541" t="s">
        <v>644</v>
      </c>
      <c r="S143" s="543" t="s">
        <v>645</v>
      </c>
      <c r="T143" s="541" t="s">
        <v>646</v>
      </c>
      <c r="U143" s="543" t="s">
        <v>647</v>
      </c>
      <c r="V143" s="541" t="s">
        <v>648</v>
      </c>
      <c r="W143" s="541" t="s">
        <v>649</v>
      </c>
    </row>
    <row r="144" spans="1:23" s="3" customFormat="1" ht="24.95" customHeight="1" x14ac:dyDescent="0.2">
      <c r="A144" s="1161" t="s">
        <v>224</v>
      </c>
      <c r="B144" s="1162"/>
      <c r="C144" s="420">
        <f>B139</f>
        <v>139.57844422858173</v>
      </c>
      <c r="D144" s="421">
        <f>B135</f>
        <v>142.5</v>
      </c>
      <c r="E144" s="466">
        <f>B140</f>
        <v>145.42155577141827</v>
      </c>
      <c r="H144" s="48"/>
      <c r="O144" s="531" t="s">
        <v>650</v>
      </c>
      <c r="P144" s="537" t="s">
        <v>651</v>
      </c>
      <c r="Q144" s="536" t="s">
        <v>652</v>
      </c>
      <c r="R144" s="537" t="s">
        <v>653</v>
      </c>
      <c r="S144" s="538" t="s">
        <v>654</v>
      </c>
      <c r="T144" s="537" t="s">
        <v>655</v>
      </c>
      <c r="U144" s="538" t="s">
        <v>656</v>
      </c>
      <c r="V144" s="537" t="s">
        <v>657</v>
      </c>
      <c r="W144" s="537" t="s">
        <v>658</v>
      </c>
    </row>
    <row r="145" spans="1:23" s="3" customFormat="1" ht="24.95" customHeight="1" x14ac:dyDescent="0.2">
      <c r="A145" s="1161" t="s">
        <v>374</v>
      </c>
      <c r="B145" s="1163"/>
      <c r="C145" s="963">
        <f>B65</f>
        <v>140.12</v>
      </c>
      <c r="D145" s="964"/>
      <c r="E145" s="965"/>
      <c r="O145" s="540">
        <v>120</v>
      </c>
      <c r="P145" s="541" t="s">
        <v>659</v>
      </c>
      <c r="Q145" s="542" t="s">
        <v>660</v>
      </c>
      <c r="R145" s="541" t="s">
        <v>661</v>
      </c>
      <c r="S145" s="543" t="s">
        <v>662</v>
      </c>
      <c r="T145" s="541" t="s">
        <v>663</v>
      </c>
      <c r="U145" s="543" t="s">
        <v>664</v>
      </c>
      <c r="V145" s="541" t="s">
        <v>665</v>
      </c>
      <c r="W145" s="541" t="s">
        <v>666</v>
      </c>
    </row>
    <row r="146" spans="1:23" ht="50.1" customHeight="1" thickBot="1" x14ac:dyDescent="0.25">
      <c r="A146" s="1048" t="s">
        <v>375</v>
      </c>
      <c r="B146" s="1049"/>
      <c r="C146" s="1132" t="str">
        <f>IF(AND(C145&gt;=C144,C145&lt;=E144),"Veracidad Confirmada","Veracidad No Confirmada, reevalúe")</f>
        <v>Veracidad Confirmada</v>
      </c>
      <c r="D146" s="1132"/>
      <c r="E146" s="1133"/>
      <c r="H146" s="3"/>
      <c r="I146" s="3"/>
      <c r="J146" s="3"/>
      <c r="K146" s="3"/>
      <c r="O146" s="531" t="s">
        <v>677</v>
      </c>
      <c r="P146" s="537" t="s">
        <v>667</v>
      </c>
      <c r="Q146" s="536" t="s">
        <v>668</v>
      </c>
      <c r="R146" s="537" t="s">
        <v>669</v>
      </c>
      <c r="S146" s="538" t="s">
        <v>670</v>
      </c>
      <c r="T146" s="537" t="s">
        <v>671</v>
      </c>
      <c r="U146" s="538" t="s">
        <v>672</v>
      </c>
      <c r="V146" s="537" t="s">
        <v>673</v>
      </c>
      <c r="W146" s="537" t="s">
        <v>674</v>
      </c>
    </row>
    <row r="147" spans="1:23" ht="50.1" customHeight="1" x14ac:dyDescent="0.2">
      <c r="A147" s="55"/>
      <c r="H147" s="3"/>
      <c r="I147" s="3"/>
      <c r="J147" s="3"/>
      <c r="K147" s="3"/>
    </row>
    <row r="148" spans="1:23" ht="24.95" customHeight="1" x14ac:dyDescent="0.2">
      <c r="A148" s="385"/>
      <c r="B148" s="105"/>
      <c r="C148" s="165"/>
      <c r="D148" s="165"/>
      <c r="E148" s="165"/>
      <c r="H148" s="3"/>
      <c r="I148" s="3"/>
      <c r="J148" s="3"/>
      <c r="K148" s="3"/>
    </row>
    <row r="149" spans="1:23" ht="24.95" customHeight="1" x14ac:dyDescent="0.2">
      <c r="A149" s="989" t="s">
        <v>708</v>
      </c>
      <c r="B149" s="990"/>
      <c r="C149" s="990"/>
      <c r="D149" s="990"/>
      <c r="E149" s="990"/>
      <c r="H149" s="3"/>
      <c r="I149" s="3"/>
      <c r="J149" s="3"/>
      <c r="K149" s="3"/>
    </row>
    <row r="150" spans="1:23" ht="45" customHeight="1" x14ac:dyDescent="0.2">
      <c r="A150" s="992" t="s">
        <v>684</v>
      </c>
      <c r="B150" s="993"/>
      <c r="C150" s="993"/>
      <c r="D150" s="993"/>
      <c r="E150" s="993"/>
      <c r="H150" s="3"/>
      <c r="I150" s="3"/>
      <c r="J150" s="3"/>
      <c r="K150" s="3"/>
    </row>
    <row r="151" spans="1:23" ht="24.95" customHeight="1" thickBot="1" x14ac:dyDescent="0.25">
      <c r="A151" s="979" t="s">
        <v>679</v>
      </c>
      <c r="B151" s="980"/>
      <c r="C151" s="1014" t="s">
        <v>682</v>
      </c>
      <c r="D151" s="1014"/>
      <c r="E151" s="1015"/>
      <c r="H151" s="3"/>
      <c r="I151" s="3"/>
      <c r="J151" s="3"/>
      <c r="K151" s="3"/>
    </row>
    <row r="152" spans="1:23" ht="24.95" customHeight="1" x14ac:dyDescent="0.2">
      <c r="A152" s="1016"/>
      <c r="B152" s="1011"/>
      <c r="C152" s="1012">
        <f>K26</f>
        <v>2</v>
      </c>
      <c r="D152" s="1012"/>
      <c r="E152" s="1013"/>
    </row>
    <row r="153" spans="1:23" ht="24.95" customHeight="1" x14ac:dyDescent="0.2">
      <c r="A153" s="985" t="s">
        <v>681</v>
      </c>
      <c r="B153" s="988"/>
      <c r="C153" s="999">
        <f>(E144-C144)/C152</f>
        <v>2.9215557714182694</v>
      </c>
      <c r="D153" s="1000"/>
      <c r="E153" s="1001"/>
    </row>
    <row r="154" spans="1:23" ht="39.950000000000003" customHeight="1" x14ac:dyDescent="0.2">
      <c r="A154" s="985" t="s">
        <v>692</v>
      </c>
      <c r="B154" s="988"/>
      <c r="C154" s="999">
        <f>F27</f>
        <v>18.026250000000001</v>
      </c>
      <c r="D154" s="1000"/>
      <c r="E154" s="1001"/>
    </row>
    <row r="155" spans="1:23" s="3" customFormat="1" ht="24.95" customHeight="1" x14ac:dyDescent="0.2">
      <c r="A155" s="1008" t="s">
        <v>683</v>
      </c>
      <c r="B155" s="978"/>
      <c r="C155" s="1002" t="str">
        <f>IF(C153&lt;C154,"Incertidumbre combinada menor al requisito máximo aceptable para error sistemático. El experimento tiene la capacidad de detectar un sesgo clínicamente significativo","Incertidumbre combinada mayor al requisito máximo aceptable para error sistemático. El experimento no tiene la capacidad de detectar un sesgo clínicamente significativo")</f>
        <v>Incertidumbre combinada menor al requisito máximo aceptable para error sistemático. El experimento tiene la capacidad de detectar un sesgo clínicamente significativo</v>
      </c>
      <c r="D155" s="1002"/>
      <c r="E155" s="1003"/>
      <c r="I155" s="1"/>
      <c r="J155" s="1"/>
      <c r="K155" s="1"/>
    </row>
    <row r="156" spans="1:23" s="3" customFormat="1" ht="24.95" customHeight="1" x14ac:dyDescent="0.2">
      <c r="A156" s="1009"/>
      <c r="B156" s="980"/>
      <c r="C156" s="1004"/>
      <c r="D156" s="1004"/>
      <c r="E156" s="1005"/>
      <c r="I156" s="1"/>
      <c r="J156" s="1"/>
      <c r="K156" s="1"/>
    </row>
    <row r="157" spans="1:23" s="3" customFormat="1" ht="24.95" customHeight="1" x14ac:dyDescent="0.2">
      <c r="A157" s="1010"/>
      <c r="B157" s="1011"/>
      <c r="C157" s="1006"/>
      <c r="D157" s="1006"/>
      <c r="E157" s="1007"/>
      <c r="I157" s="1"/>
      <c r="J157" s="1"/>
      <c r="K157" s="1"/>
    </row>
    <row r="158" spans="1:23" s="3" customFormat="1" ht="24.95" customHeight="1" x14ac:dyDescent="0.2">
      <c r="A158" s="402"/>
      <c r="B158" s="165"/>
      <c r="C158" s="165"/>
      <c r="D158" s="165"/>
      <c r="E158" s="165"/>
      <c r="I158" s="1"/>
      <c r="J158" s="1"/>
      <c r="K158" s="1"/>
    </row>
    <row r="159" spans="1:23" ht="24.95" customHeight="1" x14ac:dyDescent="0.2">
      <c r="A159" s="989" t="s">
        <v>709</v>
      </c>
      <c r="B159" s="990"/>
      <c r="C159" s="990"/>
      <c r="D159" s="990"/>
      <c r="E159" s="990"/>
    </row>
    <row r="160" spans="1:23" ht="45" customHeight="1" x14ac:dyDescent="0.2">
      <c r="A160" s="992" t="s">
        <v>685</v>
      </c>
      <c r="B160" s="993"/>
      <c r="C160" s="993"/>
      <c r="D160" s="993"/>
      <c r="E160" s="998"/>
    </row>
    <row r="161" spans="1:11" s="3" customFormat="1" ht="20.100000000000001" customHeight="1" x14ac:dyDescent="0.2">
      <c r="A161" s="985" t="s">
        <v>687</v>
      </c>
      <c r="B161" s="986"/>
      <c r="C161" s="964" t="s">
        <v>688</v>
      </c>
      <c r="D161" s="964"/>
      <c r="E161" s="965"/>
    </row>
    <row r="162" spans="1:11" s="3" customFormat="1" ht="20.100000000000001" customHeight="1" x14ac:dyDescent="0.2">
      <c r="A162" s="987" t="s">
        <v>689</v>
      </c>
      <c r="B162" s="986"/>
      <c r="C162" s="983">
        <f>F21</f>
        <v>140.12</v>
      </c>
      <c r="D162" s="983"/>
      <c r="E162" s="984"/>
    </row>
    <row r="163" spans="1:11" s="3" customFormat="1" ht="20.100000000000001" customHeight="1" x14ac:dyDescent="0.2">
      <c r="A163" s="985" t="s">
        <v>347</v>
      </c>
      <c r="B163" s="988"/>
      <c r="C163" s="963">
        <f>F20</f>
        <v>142.5</v>
      </c>
      <c r="D163" s="964"/>
      <c r="E163" s="965"/>
      <c r="I163" s="1"/>
      <c r="J163" s="1"/>
      <c r="K163" s="1"/>
    </row>
    <row r="164" spans="1:11" s="3" customFormat="1" ht="20.100000000000001" customHeight="1" x14ac:dyDescent="0.2">
      <c r="A164" s="985" t="s">
        <v>690</v>
      </c>
      <c r="B164" s="988"/>
      <c r="C164" s="999">
        <f>C162-C163</f>
        <v>-2.3799999999999955</v>
      </c>
      <c r="D164" s="1000"/>
      <c r="E164" s="1001"/>
      <c r="I164" s="1"/>
      <c r="J164" s="1"/>
      <c r="K164" s="1"/>
    </row>
    <row r="165" spans="1:11" s="3" customFormat="1" ht="39.950000000000003" customHeight="1" x14ac:dyDescent="0.2">
      <c r="A165" s="985" t="s">
        <v>692</v>
      </c>
      <c r="B165" s="988"/>
      <c r="C165" s="999">
        <f>F27</f>
        <v>18.026250000000001</v>
      </c>
      <c r="D165" s="1000"/>
      <c r="E165" s="1001"/>
      <c r="I165" s="1"/>
      <c r="J165" s="1"/>
      <c r="K165" s="1"/>
    </row>
    <row r="166" spans="1:11" s="3" customFormat="1" ht="30" customHeight="1" x14ac:dyDescent="0.2">
      <c r="A166" s="977" t="s">
        <v>683</v>
      </c>
      <c r="B166" s="978"/>
      <c r="C166" s="973" t="str">
        <f>IF(ABS(C164)&lt;C165,"El Sesgo del procedimiento de medida es menor al requisito máximo aceptable para error sistemático. El experimento tiene un sesgo aceptable clinicamente para el nivel de concentración evaluada"," El sesgo del procedimiento de medida es mayor al requisito máximo aceptable para error sistemático. El experimento  tiene un sesgo inaceptable clínicamente para el nivel de concentración evaluada")</f>
        <v>El Sesgo del procedimiento de medida es menor al requisito máximo aceptable para error sistemático. El experimento tiene un sesgo aceptable clinicamente para el nivel de concentración evaluada</v>
      </c>
      <c r="D166" s="973"/>
      <c r="E166" s="981"/>
      <c r="I166" s="1"/>
      <c r="J166" s="1"/>
      <c r="K166" s="1"/>
    </row>
    <row r="167" spans="1:11" s="3" customFormat="1" ht="30" customHeight="1" x14ac:dyDescent="0.2">
      <c r="A167" s="979"/>
      <c r="B167" s="980"/>
      <c r="C167" s="973"/>
      <c r="D167" s="973"/>
      <c r="E167" s="981"/>
      <c r="I167" s="1"/>
      <c r="J167" s="1"/>
      <c r="K167" s="1"/>
    </row>
    <row r="168" spans="1:11" s="3" customFormat="1" ht="30" customHeight="1" thickBot="1" x14ac:dyDescent="0.25">
      <c r="A168" s="979"/>
      <c r="B168" s="980"/>
      <c r="C168" s="975"/>
      <c r="D168" s="975"/>
      <c r="E168" s="982"/>
      <c r="I168" s="1"/>
      <c r="J168" s="1"/>
      <c r="K168" s="1"/>
    </row>
    <row r="169" spans="1:11" s="3" customFormat="1" ht="20.100000000000001" customHeight="1" x14ac:dyDescent="0.2">
      <c r="A169" s="402"/>
      <c r="B169" s="167"/>
      <c r="C169" s="165"/>
      <c r="D169" s="165"/>
      <c r="E169" s="167"/>
      <c r="I169" s="1"/>
      <c r="J169" s="1"/>
      <c r="K169" s="1"/>
    </row>
    <row r="170" spans="1:11" ht="24.95" customHeight="1" x14ac:dyDescent="0.2">
      <c r="A170" s="989" t="s">
        <v>710</v>
      </c>
      <c r="B170" s="990"/>
      <c r="C170" s="990"/>
      <c r="D170" s="990"/>
      <c r="E170" s="991"/>
    </row>
    <row r="171" spans="1:11" ht="45" customHeight="1" x14ac:dyDescent="0.2">
      <c r="A171" s="992" t="s">
        <v>711</v>
      </c>
      <c r="B171" s="993"/>
      <c r="C171" s="993"/>
      <c r="D171" s="993"/>
      <c r="E171" s="993"/>
    </row>
    <row r="172" spans="1:11" s="3" customFormat="1" ht="20.100000000000001" customHeight="1" thickBot="1" x14ac:dyDescent="0.25">
      <c r="A172" s="994" t="s">
        <v>691</v>
      </c>
      <c r="B172" s="972"/>
      <c r="C172" s="995" t="s">
        <v>688</v>
      </c>
      <c r="D172" s="995"/>
      <c r="E172" s="997">
        <v>100</v>
      </c>
    </row>
    <row r="173" spans="1:11" s="3" customFormat="1" ht="20.100000000000001" customHeight="1" x14ac:dyDescent="0.2">
      <c r="A173" s="994"/>
      <c r="B173" s="972"/>
      <c r="C173" s="996" t="s">
        <v>347</v>
      </c>
      <c r="D173" s="996"/>
      <c r="E173" s="997"/>
    </row>
    <row r="174" spans="1:11" s="3" customFormat="1" ht="20.100000000000001" customHeight="1" x14ac:dyDescent="0.2">
      <c r="A174" s="961" t="s">
        <v>689</v>
      </c>
      <c r="B174" s="962"/>
      <c r="C174" s="963">
        <f>F21</f>
        <v>140.12</v>
      </c>
      <c r="D174" s="964"/>
      <c r="E174" s="965"/>
    </row>
    <row r="175" spans="1:11" s="3" customFormat="1" ht="20.100000000000001" customHeight="1" x14ac:dyDescent="0.2">
      <c r="A175" s="961" t="s">
        <v>347</v>
      </c>
      <c r="B175" s="962"/>
      <c r="C175" s="963">
        <f>F20</f>
        <v>142.5</v>
      </c>
      <c r="D175" s="964"/>
      <c r="E175" s="965"/>
      <c r="I175" s="1"/>
      <c r="J175" s="1"/>
      <c r="K175" s="1"/>
    </row>
    <row r="176" spans="1:11" s="3" customFormat="1" ht="20.100000000000001" customHeight="1" x14ac:dyDescent="0.2">
      <c r="A176" s="961" t="s">
        <v>694</v>
      </c>
      <c r="B176" s="962"/>
      <c r="C176" s="966">
        <f>(C174-C175)/C175*E172/100</f>
        <v>-1.6701754385964881E-2</v>
      </c>
      <c r="D176" s="967"/>
      <c r="E176" s="968"/>
      <c r="I176" s="1"/>
      <c r="J176" s="1"/>
      <c r="K176" s="1"/>
    </row>
    <row r="177" spans="1:11" s="3" customFormat="1" ht="39.950000000000003" customHeight="1" x14ac:dyDescent="0.2">
      <c r="A177" s="961" t="s">
        <v>693</v>
      </c>
      <c r="B177" s="962"/>
      <c r="C177" s="966">
        <f>F28</f>
        <v>0.1265</v>
      </c>
      <c r="D177" s="967"/>
      <c r="E177" s="968"/>
      <c r="I177" s="1"/>
      <c r="J177" s="1"/>
      <c r="K177" s="1"/>
    </row>
    <row r="178" spans="1:11" s="3" customFormat="1" ht="30" customHeight="1" x14ac:dyDescent="0.2">
      <c r="A178" s="969" t="s">
        <v>683</v>
      </c>
      <c r="B178" s="970"/>
      <c r="C178" s="973" t="str">
        <f>IF(ABS(C176)&lt;C177,"El Sesgo del procedimiento de medida es menor al requisito máximo aceptable para error sistemático. El experimento tiene un sesgo aceptable clinicamente para el nivel de concentración evaluada"," El sesgo del procedimiento de medida es mayor al requisito máximo aceptable para error sistemático. El experimento  tiene un sesgo inaceptable clínicamente para el nivel de concentración evaluada")</f>
        <v>El Sesgo del procedimiento de medida es menor al requisito máximo aceptable para error sistemático. El experimento tiene un sesgo aceptable clinicamente para el nivel de concentración evaluada</v>
      </c>
      <c r="D178" s="973"/>
      <c r="E178" s="974"/>
      <c r="I178" s="1"/>
      <c r="J178" s="1"/>
      <c r="K178" s="1"/>
    </row>
    <row r="179" spans="1:11" s="3" customFormat="1" ht="30" customHeight="1" x14ac:dyDescent="0.2">
      <c r="A179" s="971"/>
      <c r="B179" s="972"/>
      <c r="C179" s="973"/>
      <c r="D179" s="973"/>
      <c r="E179" s="974"/>
      <c r="I179" s="1"/>
      <c r="J179" s="1"/>
      <c r="K179" s="1"/>
    </row>
    <row r="180" spans="1:11" s="3" customFormat="1" ht="30" customHeight="1" thickBot="1" x14ac:dyDescent="0.25">
      <c r="A180" s="971"/>
      <c r="B180" s="972"/>
      <c r="C180" s="975"/>
      <c r="D180" s="975"/>
      <c r="E180" s="976"/>
      <c r="I180" s="1"/>
      <c r="J180" s="1"/>
      <c r="K180" s="1"/>
    </row>
    <row r="181" spans="1:11" s="3" customFormat="1" ht="20.100000000000001" customHeight="1" x14ac:dyDescent="0.2">
      <c r="A181" s="56"/>
      <c r="B181" s="50"/>
      <c r="I181" s="1"/>
      <c r="J181" s="1"/>
      <c r="K181" s="1"/>
    </row>
    <row r="182" spans="1:11" ht="20.100000000000001" customHeight="1" x14ac:dyDescent="0.2">
      <c r="A182" s="55"/>
    </row>
    <row r="183" spans="1:11" ht="20.100000000000001" customHeight="1" x14ac:dyDescent="0.2">
      <c r="A183" s="55"/>
    </row>
    <row r="184" spans="1:11" ht="20.100000000000001" customHeight="1" x14ac:dyDescent="0.2">
      <c r="A184" s="55"/>
    </row>
    <row r="185" spans="1:11" ht="20.100000000000001" customHeight="1" x14ac:dyDescent="0.2">
      <c r="A185" s="55"/>
    </row>
    <row r="186" spans="1:11" ht="20.100000000000001" customHeight="1" x14ac:dyDescent="0.2">
      <c r="A186" s="55"/>
    </row>
    <row r="187" spans="1:11" ht="20.100000000000001" customHeight="1" x14ac:dyDescent="0.2">
      <c r="A187" s="55"/>
    </row>
    <row r="188" spans="1:11" ht="20.100000000000001" customHeight="1" x14ac:dyDescent="0.2">
      <c r="A188" s="55"/>
    </row>
    <row r="189" spans="1:11" ht="20.100000000000001" customHeight="1" x14ac:dyDescent="0.2">
      <c r="A189" s="55"/>
    </row>
    <row r="190" spans="1:11" ht="20.100000000000001" customHeight="1" x14ac:dyDescent="0.2">
      <c r="A190" s="55"/>
    </row>
    <row r="191" spans="1:11" ht="20.100000000000001" customHeight="1" x14ac:dyDescent="0.2">
      <c r="A191" s="55"/>
    </row>
    <row r="192" spans="1:11" x14ac:dyDescent="0.2">
      <c r="A192" s="55"/>
    </row>
    <row r="193" spans="1:1" x14ac:dyDescent="0.2">
      <c r="A193" s="55"/>
    </row>
    <row r="194" spans="1:1" x14ac:dyDescent="0.2">
      <c r="A194" s="55"/>
    </row>
    <row r="195" spans="1:1" x14ac:dyDescent="0.2">
      <c r="A195" s="55"/>
    </row>
    <row r="196" spans="1:1" x14ac:dyDescent="0.2">
      <c r="A196" s="55"/>
    </row>
    <row r="197" spans="1:1" x14ac:dyDescent="0.2">
      <c r="A197" s="55"/>
    </row>
    <row r="198" spans="1:1" x14ac:dyDescent="0.2">
      <c r="A198" s="55"/>
    </row>
    <row r="199" spans="1:1" x14ac:dyDescent="0.2">
      <c r="A199" s="55"/>
    </row>
    <row r="200" spans="1:1" x14ac:dyDescent="0.2">
      <c r="A200" s="55"/>
    </row>
    <row r="201" spans="1:1" x14ac:dyDescent="0.2">
      <c r="A201" s="55"/>
    </row>
    <row r="202" spans="1:1" x14ac:dyDescent="0.2">
      <c r="A202" s="55"/>
    </row>
    <row r="203" spans="1:1" x14ac:dyDescent="0.2">
      <c r="A203" s="55"/>
    </row>
    <row r="204" spans="1:1" x14ac:dyDescent="0.2">
      <c r="A204" s="55"/>
    </row>
    <row r="205" spans="1:1" x14ac:dyDescent="0.2">
      <c r="A205" s="55"/>
    </row>
    <row r="253" spans="1:2" x14ac:dyDescent="0.2">
      <c r="A253" s="3"/>
      <c r="B253" s="3"/>
    </row>
    <row r="254" spans="1:2" x14ac:dyDescent="0.2">
      <c r="A254" s="3"/>
      <c r="B254" s="3"/>
    </row>
    <row r="255" spans="1:2" x14ac:dyDescent="0.2">
      <c r="A255" s="3"/>
      <c r="B255" s="3"/>
    </row>
    <row r="256" spans="1:2" x14ac:dyDescent="0.2">
      <c r="A256" s="3"/>
      <c r="B256" s="3"/>
    </row>
    <row r="257" spans="1:2" x14ac:dyDescent="0.2">
      <c r="A257" s="3"/>
      <c r="B257" s="3"/>
    </row>
    <row r="258" spans="1:2" x14ac:dyDescent="0.2">
      <c r="A258" s="3"/>
      <c r="B258" s="3"/>
    </row>
    <row r="259" spans="1:2" x14ac:dyDescent="0.2">
      <c r="A259" s="3"/>
      <c r="B259" s="3"/>
    </row>
    <row r="260" spans="1:2" x14ac:dyDescent="0.2">
      <c r="A260" s="3"/>
      <c r="B260" s="3"/>
    </row>
    <row r="261" spans="1:2" x14ac:dyDescent="0.2">
      <c r="A261" s="3"/>
      <c r="B261" s="3"/>
    </row>
    <row r="262" spans="1:2" x14ac:dyDescent="0.2">
      <c r="A262" s="3"/>
      <c r="B262" s="3"/>
    </row>
    <row r="263" spans="1:2" x14ac:dyDescent="0.2">
      <c r="A263" s="3"/>
      <c r="B263" s="3"/>
    </row>
    <row r="264" spans="1:2" x14ac:dyDescent="0.2">
      <c r="A264" s="3"/>
      <c r="B264" s="3"/>
    </row>
  </sheetData>
  <sheetProtection algorithmName="SHA-512" hashValue="RGNLV56dzR8DN2w8z80Fmf8M83mbKhI59D+rnM86/NH79OVAiOGCngb2/o79Uzw4+BNagccZlKZ+tNS1MuAH3w==" saltValue="WFX9FgLfBa0e3Z9eWTyW6A==" spinCount="100000" sheet="1" objects="1" scenarios="1"/>
  <mergeCells count="201">
    <mergeCell ref="B103:E103"/>
    <mergeCell ref="A103:A104"/>
    <mergeCell ref="D128:E128"/>
    <mergeCell ref="D129:E129"/>
    <mergeCell ref="C53:E53"/>
    <mergeCell ref="C54:E54"/>
    <mergeCell ref="C55:E55"/>
    <mergeCell ref="C57:E57"/>
    <mergeCell ref="C58:E58"/>
    <mergeCell ref="C59:E59"/>
    <mergeCell ref="C60:E60"/>
    <mergeCell ref="C61:E61"/>
    <mergeCell ref="A73:E73"/>
    <mergeCell ref="A128:A129"/>
    <mergeCell ref="C33:E33"/>
    <mergeCell ref="C34:E34"/>
    <mergeCell ref="C35:E35"/>
    <mergeCell ref="C36:E36"/>
    <mergeCell ref="C37:E37"/>
    <mergeCell ref="C39:E39"/>
    <mergeCell ref="C40:E40"/>
    <mergeCell ref="C41:E41"/>
    <mergeCell ref="B100:E100"/>
    <mergeCell ref="G118:H118"/>
    <mergeCell ref="G119:H119"/>
    <mergeCell ref="G120:H120"/>
    <mergeCell ref="G121:H121"/>
    <mergeCell ref="G122:H122"/>
    <mergeCell ref="G123:H123"/>
    <mergeCell ref="C131:E131"/>
    <mergeCell ref="I119:J123"/>
    <mergeCell ref="K120:L120"/>
    <mergeCell ref="K121:L122"/>
    <mergeCell ref="D19:E19"/>
    <mergeCell ref="A58:A61"/>
    <mergeCell ref="O108:W108"/>
    <mergeCell ref="O109:W109"/>
    <mergeCell ref="A144:B144"/>
    <mergeCell ref="A145:B145"/>
    <mergeCell ref="C145:E145"/>
    <mergeCell ref="F66:F68"/>
    <mergeCell ref="O66:P66"/>
    <mergeCell ref="S66:T66"/>
    <mergeCell ref="U66:V66"/>
    <mergeCell ref="I51:J51"/>
    <mergeCell ref="A46:A49"/>
    <mergeCell ref="I46:J46"/>
    <mergeCell ref="I50:J50"/>
    <mergeCell ref="B85:E85"/>
    <mergeCell ref="B86:E86"/>
    <mergeCell ref="A90:E90"/>
    <mergeCell ref="B91:E91"/>
    <mergeCell ref="A52:A55"/>
    <mergeCell ref="D26:E26"/>
    <mergeCell ref="D24:E24"/>
    <mergeCell ref="B127:E127"/>
    <mergeCell ref="D25:E25"/>
    <mergeCell ref="A142:E142"/>
    <mergeCell ref="D27:E27"/>
    <mergeCell ref="D28:E28"/>
    <mergeCell ref="A143:E143"/>
    <mergeCell ref="B78:E78"/>
    <mergeCell ref="A30:E30"/>
    <mergeCell ref="A114:E115"/>
    <mergeCell ref="A108:E108"/>
    <mergeCell ref="B62:E64"/>
    <mergeCell ref="B65:E69"/>
    <mergeCell ref="A31:A32"/>
    <mergeCell ref="B31:B32"/>
    <mergeCell ref="A34:A37"/>
    <mergeCell ref="A40:A43"/>
    <mergeCell ref="C42:E42"/>
    <mergeCell ref="C43:E43"/>
    <mergeCell ref="C45:E45"/>
    <mergeCell ref="C46:E46"/>
    <mergeCell ref="C47:E47"/>
    <mergeCell ref="C48:E48"/>
    <mergeCell ref="C49:E49"/>
    <mergeCell ref="C51:E51"/>
    <mergeCell ref="C52:E52"/>
    <mergeCell ref="C31:E32"/>
    <mergeCell ref="A10:B10"/>
    <mergeCell ref="C10:J10"/>
    <mergeCell ref="A11:J11"/>
    <mergeCell ref="A12:J12"/>
    <mergeCell ref="E16:F16"/>
    <mergeCell ref="A2:B9"/>
    <mergeCell ref="C2:I5"/>
    <mergeCell ref="C6:D6"/>
    <mergeCell ref="E6:I6"/>
    <mergeCell ref="C7:D7"/>
    <mergeCell ref="E7:I7"/>
    <mergeCell ref="C8:D8"/>
    <mergeCell ref="E8:I8"/>
    <mergeCell ref="C9:D9"/>
    <mergeCell ref="E9:I9"/>
    <mergeCell ref="H16:J16"/>
    <mergeCell ref="B14:D14"/>
    <mergeCell ref="D17:E17"/>
    <mergeCell ref="D23:E23"/>
    <mergeCell ref="D20:E20"/>
    <mergeCell ref="D21:E21"/>
    <mergeCell ref="B104:E104"/>
    <mergeCell ref="A71:D71"/>
    <mergeCell ref="A72:D72"/>
    <mergeCell ref="A84:E84"/>
    <mergeCell ref="B92:E92"/>
    <mergeCell ref="B93:E93"/>
    <mergeCell ref="B94:E94"/>
    <mergeCell ref="B87:E88"/>
    <mergeCell ref="B101:E101"/>
    <mergeCell ref="B102:E102"/>
    <mergeCell ref="B74:E74"/>
    <mergeCell ref="B75:E75"/>
    <mergeCell ref="B76:E76"/>
    <mergeCell ref="B77:E77"/>
    <mergeCell ref="A96:E96"/>
    <mergeCell ref="A97:E97"/>
    <mergeCell ref="A98:E98"/>
    <mergeCell ref="A99:E99"/>
    <mergeCell ref="D22:E22"/>
    <mergeCell ref="D18:E18"/>
    <mergeCell ref="H17:J17"/>
    <mergeCell ref="H18:J18"/>
    <mergeCell ref="H19:J19"/>
    <mergeCell ref="H22:J22"/>
    <mergeCell ref="H23:J23"/>
    <mergeCell ref="K16:L16"/>
    <mergeCell ref="K17:L17"/>
    <mergeCell ref="K23:L23"/>
    <mergeCell ref="H20:J21"/>
    <mergeCell ref="K20:L21"/>
    <mergeCell ref="H24:J25"/>
    <mergeCell ref="K24:L25"/>
    <mergeCell ref="K18:L18"/>
    <mergeCell ref="K19:L19"/>
    <mergeCell ref="K22:L22"/>
    <mergeCell ref="W66:X66"/>
    <mergeCell ref="Q66:R66"/>
    <mergeCell ref="I52:J52"/>
    <mergeCell ref="H26:J27"/>
    <mergeCell ref="K26:L27"/>
    <mergeCell ref="O63:X65"/>
    <mergeCell ref="A149:E149"/>
    <mergeCell ref="A150:E150"/>
    <mergeCell ref="C152:E152"/>
    <mergeCell ref="A153:B153"/>
    <mergeCell ref="C153:E153"/>
    <mergeCell ref="C151:E151"/>
    <mergeCell ref="A151:B152"/>
    <mergeCell ref="O107:V107"/>
    <mergeCell ref="B136:E136"/>
    <mergeCell ref="B137:E137"/>
    <mergeCell ref="B135:E135"/>
    <mergeCell ref="B139:E139"/>
    <mergeCell ref="B140:E140"/>
    <mergeCell ref="A109:E109"/>
    <mergeCell ref="B111:E111"/>
    <mergeCell ref="B112:E112"/>
    <mergeCell ref="A110:E110"/>
    <mergeCell ref="A125:E126"/>
    <mergeCell ref="B130:E130"/>
    <mergeCell ref="A133:E133"/>
    <mergeCell ref="A134:E134"/>
    <mergeCell ref="A146:B146"/>
    <mergeCell ref="F116:G116"/>
    <mergeCell ref="C146:E146"/>
    <mergeCell ref="A159:E159"/>
    <mergeCell ref="A160:E160"/>
    <mergeCell ref="C161:E161"/>
    <mergeCell ref="C163:E163"/>
    <mergeCell ref="A164:B164"/>
    <mergeCell ref="C164:E164"/>
    <mergeCell ref="A165:B165"/>
    <mergeCell ref="C165:E165"/>
    <mergeCell ref="A154:B154"/>
    <mergeCell ref="C154:E154"/>
    <mergeCell ref="C155:E157"/>
    <mergeCell ref="A155:B157"/>
    <mergeCell ref="A166:B168"/>
    <mergeCell ref="C166:E168"/>
    <mergeCell ref="C162:E162"/>
    <mergeCell ref="A161:B161"/>
    <mergeCell ref="A162:B162"/>
    <mergeCell ref="A163:B163"/>
    <mergeCell ref="A170:E170"/>
    <mergeCell ref="A171:E171"/>
    <mergeCell ref="A172:B173"/>
    <mergeCell ref="C172:D172"/>
    <mergeCell ref="C173:D173"/>
    <mergeCell ref="E172:E173"/>
    <mergeCell ref="A174:B174"/>
    <mergeCell ref="C174:E174"/>
    <mergeCell ref="A175:B175"/>
    <mergeCell ref="C175:E175"/>
    <mergeCell ref="A176:B176"/>
    <mergeCell ref="C176:E176"/>
    <mergeCell ref="A177:B177"/>
    <mergeCell ref="C177:E177"/>
    <mergeCell ref="A178:B180"/>
    <mergeCell ref="C178:E180"/>
  </mergeCells>
  <conditionalFormatting sqref="C146:E146">
    <cfRule type="containsText" dxfId="12" priority="18" operator="containsText" text="Veracidad Confirmada">
      <formula>NOT(ISERROR(SEARCH("Veracidad Confirmada",C146)))</formula>
    </cfRule>
    <cfRule type="containsText" dxfId="11" priority="19" operator="containsText" text="Veracidad Confirmada">
      <formula>NOT(ISERROR(SEARCH("Veracidad Confirmada",C146)))</formula>
    </cfRule>
    <cfRule type="containsText" dxfId="10" priority="20" operator="containsText" text="Veracidad No confirmada, reevalúe">
      <formula>NOT(ISERROR(SEARCH("Veracidad No confirmada, reevalúe",C146)))</formula>
    </cfRule>
  </conditionalFormatting>
  <conditionalFormatting sqref="C155:E157">
    <cfRule type="containsText" dxfId="9" priority="13" operator="containsText" text="Incertidumbre combinada mayor">
      <formula>NOT(ISERROR(SEARCH("Incertidumbre combinada mayor",C155)))</formula>
    </cfRule>
    <cfRule type="containsText" dxfId="8" priority="14" operator="containsText" text="Incertidumbre combinada menor">
      <formula>NOT(ISERROR(SEARCH("Incertidumbre combinada menor",C155)))</formula>
    </cfRule>
  </conditionalFormatting>
  <conditionalFormatting sqref="C166:E168">
    <cfRule type="containsText" dxfId="7" priority="9" operator="containsText" text="El Sesgo del procedimiento de medida es mayor">
      <formula>NOT(ISERROR(SEARCH("El Sesgo del procedimiento de medida es mayor",C166)))</formula>
    </cfRule>
    <cfRule type="containsText" dxfId="6" priority="10" operator="containsText" text="El Sesgo del procedimiento de medida es menor">
      <formula>NOT(ISERROR(SEARCH("El Sesgo del procedimiento de medida es menor",C166)))</formula>
    </cfRule>
    <cfRule type="containsText" dxfId="5" priority="11" operator="containsText" text="Incertidumbre combinada mayor">
      <formula>NOT(ISERROR(SEARCH("Incertidumbre combinada mayor",C166)))</formula>
    </cfRule>
    <cfRule type="containsText" dxfId="4" priority="12" operator="containsText" text="Incertidumbre combinada menor">
      <formula>NOT(ISERROR(SEARCH("Incertidumbre combinada menor",C166)))</formula>
    </cfRule>
  </conditionalFormatting>
  <conditionalFormatting sqref="C178:E180">
    <cfRule type="containsText" dxfId="3" priority="1" operator="containsText" text="El Sesgo del procedimiento de medida es mayor">
      <formula>NOT(ISERROR(SEARCH("El Sesgo del procedimiento de medida es mayor",C178)))</formula>
    </cfRule>
    <cfRule type="containsText" dxfId="2" priority="2" operator="containsText" text="El Sesgo del procedimiento de medida es menor">
      <formula>NOT(ISERROR(SEARCH("El Sesgo del procedimiento de medida es menor",C178)))</formula>
    </cfRule>
    <cfRule type="containsText" dxfId="1" priority="3" operator="containsText" text="Incertidumbre combinada mayor">
      <formula>NOT(ISERROR(SEARCH("Incertidumbre combinada mayor",C178)))</formula>
    </cfRule>
    <cfRule type="containsText" dxfId="0" priority="4" operator="containsText" text="Incertidumbre combinada menor">
      <formula>NOT(ISERROR(SEARCH("Incertidumbre combinada menor",C178)))</formula>
    </cfRule>
  </conditionalFormatting>
  <printOptions horizontalCentered="1" verticalCentered="1" gridLinesSet="0"/>
  <pageMargins left="0.19685039370078741" right="0.39370078740157483" top="0.11811023622047245" bottom="0.15748031496062992" header="0.15748031496062992" footer="0.15748031496062992"/>
  <pageSetup scale="55" orientation="portrait" horizontalDpi="300" r:id="rId1"/>
  <headerFooter alignWithMargins="0">
    <oddHeader>&amp;A</oddHeader>
    <oddFooter>Page &amp;P</oddFooter>
  </headerFooter>
  <rowBreaks count="3" manualBreakCount="3">
    <brk id="61" max="16383" man="1"/>
    <brk id="106" max="24" man="1"/>
    <brk id="147" max="16383" man="1"/>
  </rowBreaks>
  <colBreaks count="1" manualBreakCount="1">
    <brk id="13" max="186" man="1"/>
  </colBreaks>
  <ignoredErrors>
    <ignoredError sqref="E138 C116:C117 C119:C12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
  <sheetViews>
    <sheetView showGridLines="0" workbookViewId="0">
      <selection activeCell="I10" sqref="I10"/>
    </sheetView>
  </sheetViews>
  <sheetFormatPr baseColWidth="10" defaultRowHeight="12.75" x14ac:dyDescent="0.2"/>
  <cols>
    <col min="1" max="1" width="18.140625" customWidth="1"/>
    <col min="3" max="3" width="2.5703125" customWidth="1"/>
    <col min="4" max="4" width="18.28515625" customWidth="1"/>
    <col min="5" max="5" width="14" customWidth="1"/>
    <col min="6" max="6" width="12.28515625" bestFit="1" customWidth="1"/>
  </cols>
  <sheetData>
    <row r="1" spans="1:10" ht="15.75" x14ac:dyDescent="0.2">
      <c r="A1" s="427" t="s">
        <v>717</v>
      </c>
      <c r="B1" s="440">
        <v>0.95</v>
      </c>
      <c r="C1" s="425"/>
      <c r="D1" s="438" t="s">
        <v>717</v>
      </c>
      <c r="E1" s="440">
        <v>0.97499999999999998</v>
      </c>
      <c r="F1" s="440">
        <v>0.98750000000000004</v>
      </c>
      <c r="G1" s="474">
        <v>0.99170000000000003</v>
      </c>
      <c r="H1" s="441">
        <v>0.99380000000000002</v>
      </c>
      <c r="I1" s="441">
        <v>0.995</v>
      </c>
      <c r="J1" s="426"/>
    </row>
    <row r="2" spans="1:10" ht="15.75" x14ac:dyDescent="0.2">
      <c r="A2" s="435" t="s">
        <v>218</v>
      </c>
      <c r="B2" s="443">
        <v>13</v>
      </c>
      <c r="C2" s="425"/>
      <c r="D2" s="435" t="s">
        <v>218</v>
      </c>
      <c r="E2" s="442">
        <v>13</v>
      </c>
      <c r="F2" s="442">
        <v>13</v>
      </c>
      <c r="G2" s="443"/>
      <c r="H2" s="443">
        <v>13</v>
      </c>
      <c r="I2" s="443">
        <v>13</v>
      </c>
      <c r="J2" s="426"/>
    </row>
    <row r="3" spans="1:10" ht="15.75" x14ac:dyDescent="0.2">
      <c r="A3" s="428" t="s">
        <v>716</v>
      </c>
      <c r="B3" s="1210">
        <f>(B8-B1)/2</f>
        <v>2.5000000000000022E-2</v>
      </c>
      <c r="C3" s="425"/>
      <c r="D3" s="433" t="s">
        <v>716</v>
      </c>
      <c r="E3" s="1214">
        <f>(E8-E1)</f>
        <v>2.5000000000000022E-2</v>
      </c>
      <c r="F3" s="1214">
        <f>(F8-F1)</f>
        <v>1.2499999999999956E-2</v>
      </c>
      <c r="G3" s="1215">
        <f>(G8-G1)</f>
        <v>8.2999999999999741E-3</v>
      </c>
      <c r="H3" s="1217">
        <f>(H8-H1)</f>
        <v>6.1999999999999833E-3</v>
      </c>
      <c r="I3" s="1217">
        <f>(I8-I1)</f>
        <v>5.0000000000000044E-3</v>
      </c>
      <c r="J3" s="426"/>
    </row>
    <row r="4" spans="1:10" ht="15" x14ac:dyDescent="0.2">
      <c r="A4" s="430">
        <v>2</v>
      </c>
      <c r="B4" s="1211"/>
      <c r="C4" s="425"/>
      <c r="D4" s="434">
        <v>2</v>
      </c>
      <c r="E4" s="1211"/>
      <c r="F4" s="1211"/>
      <c r="G4" s="1216"/>
      <c r="H4" s="1218"/>
      <c r="I4" s="1218"/>
      <c r="J4" s="426"/>
    </row>
    <row r="5" spans="1:10" ht="15.75" x14ac:dyDescent="0.2">
      <c r="A5" s="436" t="s">
        <v>714</v>
      </c>
      <c r="B5" s="448">
        <f>B2-1</f>
        <v>12</v>
      </c>
      <c r="C5" s="425"/>
      <c r="D5" s="435" t="s">
        <v>714</v>
      </c>
      <c r="E5" s="442">
        <f t="shared" ref="E5:I5" si="0">E2-1</f>
        <v>12</v>
      </c>
      <c r="F5" s="442">
        <f t="shared" si="0"/>
        <v>12</v>
      </c>
      <c r="G5" s="443">
        <v>12</v>
      </c>
      <c r="H5" s="443">
        <f t="shared" si="0"/>
        <v>12</v>
      </c>
      <c r="I5" s="443">
        <f t="shared" si="0"/>
        <v>12</v>
      </c>
      <c r="J5" s="426"/>
    </row>
    <row r="6" spans="1:10" ht="19.5" x14ac:dyDescent="0.2">
      <c r="A6" s="436" t="s">
        <v>718</v>
      </c>
      <c r="B6" s="449">
        <f>_xlfn.T.INV(B3,B5)</f>
        <v>-2.178812829667228</v>
      </c>
      <c r="D6" s="432" t="s">
        <v>718</v>
      </c>
      <c r="E6" s="444">
        <f t="shared" ref="E6:I6" si="1">_xlfn.T.INV(E3,E5)</f>
        <v>-2.178812829667228</v>
      </c>
      <c r="F6" s="444">
        <f t="shared" si="1"/>
        <v>-2.5600329593592472</v>
      </c>
      <c r="G6" s="472">
        <f t="shared" si="1"/>
        <v>-2.7816351516307596</v>
      </c>
      <c r="H6" s="445">
        <f t="shared" si="1"/>
        <v>-2.9387821317106981</v>
      </c>
      <c r="I6" s="445">
        <f t="shared" si="1"/>
        <v>-3.0545395893929017</v>
      </c>
      <c r="J6" s="426"/>
    </row>
    <row r="7" spans="1:10" ht="19.5" x14ac:dyDescent="0.35">
      <c r="A7" s="437" t="s">
        <v>719</v>
      </c>
      <c r="B7" s="450">
        <f>B6*-1</f>
        <v>2.178812829667228</v>
      </c>
      <c r="C7" s="425"/>
      <c r="D7" s="439" t="s">
        <v>719</v>
      </c>
      <c r="E7" s="446">
        <f t="shared" ref="E7:I7" si="2">E6*-1</f>
        <v>2.178812829667228</v>
      </c>
      <c r="F7" s="446">
        <f t="shared" si="2"/>
        <v>2.5600329593592472</v>
      </c>
      <c r="G7" s="473">
        <f t="shared" si="2"/>
        <v>2.7816351516307596</v>
      </c>
      <c r="H7" s="447">
        <f t="shared" si="2"/>
        <v>2.9387821317106981</v>
      </c>
      <c r="I7" s="447">
        <f t="shared" si="2"/>
        <v>3.0545395893929017</v>
      </c>
      <c r="J7" s="426"/>
    </row>
    <row r="8" spans="1:10" ht="15.75" x14ac:dyDescent="0.2">
      <c r="A8" s="1219" t="s">
        <v>715</v>
      </c>
      <c r="B8" s="1221">
        <v>1</v>
      </c>
      <c r="C8" s="451"/>
      <c r="D8" s="1222" t="s">
        <v>715</v>
      </c>
      <c r="E8" s="1224">
        <v>1</v>
      </c>
      <c r="F8" s="1212">
        <v>1</v>
      </c>
      <c r="G8" s="1212">
        <v>1</v>
      </c>
      <c r="H8" s="1212">
        <v>1</v>
      </c>
      <c r="I8" s="1212">
        <v>1</v>
      </c>
      <c r="J8" s="426"/>
    </row>
    <row r="9" spans="1:10" ht="15.75" x14ac:dyDescent="0.25">
      <c r="A9" s="1220"/>
      <c r="B9" s="1218"/>
      <c r="C9" s="452"/>
      <c r="D9" s="1223"/>
      <c r="E9" s="1225"/>
      <c r="F9" s="1213"/>
      <c r="G9" s="1213"/>
      <c r="H9" s="1213"/>
      <c r="I9" s="1213"/>
      <c r="J9" s="426"/>
    </row>
    <row r="10" spans="1:10" ht="15.75" x14ac:dyDescent="0.2">
      <c r="E10" s="438" t="s">
        <v>729</v>
      </c>
      <c r="F10" s="470" t="s">
        <v>728</v>
      </c>
      <c r="G10" s="453">
        <f>G8-G1</f>
        <v>8.2999999999999741E-3</v>
      </c>
      <c r="H10" s="471" t="s">
        <v>730</v>
      </c>
      <c r="I10">
        <f>TINV(G12,G5)</f>
        <v>2.7816351516307596</v>
      </c>
      <c r="J10" s="426"/>
    </row>
    <row r="11" spans="1:10" ht="15" x14ac:dyDescent="0.2">
      <c r="E11" s="469"/>
      <c r="G11">
        <v>2</v>
      </c>
      <c r="J11" s="426"/>
    </row>
    <row r="12" spans="1:10" ht="15" x14ac:dyDescent="0.2">
      <c r="F12" t="s">
        <v>721</v>
      </c>
      <c r="G12">
        <f>G10*G11</f>
        <v>1.6599999999999948E-2</v>
      </c>
      <c r="J12" s="426"/>
    </row>
    <row r="13" spans="1:10" ht="15" x14ac:dyDescent="0.2">
      <c r="A13" s="426"/>
      <c r="B13" s="429"/>
      <c r="C13" s="426"/>
      <c r="D13" s="426"/>
      <c r="E13" s="425"/>
      <c r="F13" s="431"/>
      <c r="G13" s="425"/>
      <c r="H13" s="431"/>
      <c r="I13" s="425"/>
      <c r="J13" s="426"/>
    </row>
    <row r="14" spans="1:10" x14ac:dyDescent="0.2">
      <c r="E14" s="424"/>
      <c r="F14" s="424"/>
      <c r="G14" s="424"/>
      <c r="H14" s="424"/>
      <c r="I14" s="424"/>
    </row>
    <row r="15" spans="1:10" x14ac:dyDescent="0.2">
      <c r="E15" s="424"/>
      <c r="F15" s="424"/>
      <c r="G15" s="424"/>
      <c r="H15" s="424"/>
      <c r="I15" s="424"/>
    </row>
    <row r="16" spans="1:10" x14ac:dyDescent="0.2">
      <c r="E16" s="424"/>
      <c r="F16" s="424"/>
      <c r="G16" s="424"/>
      <c r="H16" s="424"/>
      <c r="I16" s="424"/>
    </row>
  </sheetData>
  <sheetProtection algorithmName="SHA-512" hashValue="JjnuqK9VGoj1tR2sk3kbUDZEyRst0w2TPTsMuxL++ybXwgBA7aUjJmz1mxIpiHwHdme+P3ZYkLgYPy1ZTl7LVw==" saltValue="OHxss1reJLozgb08IJhTBw==" spinCount="100000" sheet="1" objects="1" scenarios="1"/>
  <mergeCells count="14">
    <mergeCell ref="A8:A9"/>
    <mergeCell ref="B8:B9"/>
    <mergeCell ref="D8:D9"/>
    <mergeCell ref="E8:E9"/>
    <mergeCell ref="F8:F9"/>
    <mergeCell ref="B3:B4"/>
    <mergeCell ref="G8:G9"/>
    <mergeCell ref="H8:H9"/>
    <mergeCell ref="I8:I9"/>
    <mergeCell ref="E3:E4"/>
    <mergeCell ref="F3:F4"/>
    <mergeCell ref="G3:G4"/>
    <mergeCell ref="H3:H4"/>
    <mergeCell ref="I3:I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Normal="100" workbookViewId="0">
      <selection activeCell="I12" sqref="I12"/>
    </sheetView>
  </sheetViews>
  <sheetFormatPr baseColWidth="10" defaultRowHeight="12.75" x14ac:dyDescent="0.2"/>
  <cols>
    <col min="1" max="1" width="13.140625" style="28" customWidth="1"/>
    <col min="7" max="7" width="11.42578125" customWidth="1"/>
  </cols>
  <sheetData>
    <row r="1" spans="1:8" ht="13.5" thickBot="1" x14ac:dyDescent="0.25"/>
    <row r="2" spans="1:8" ht="30" customHeight="1" x14ac:dyDescent="0.25">
      <c r="A2" s="35"/>
      <c r="B2" s="1226" t="s">
        <v>283</v>
      </c>
      <c r="C2" s="1226"/>
      <c r="D2" s="1226"/>
      <c r="E2" s="1226"/>
      <c r="F2" s="42"/>
      <c r="G2" s="43"/>
      <c r="H2" s="32"/>
    </row>
    <row r="3" spans="1:8" ht="30" customHeight="1" x14ac:dyDescent="0.25">
      <c r="A3" s="36"/>
      <c r="B3" s="37"/>
      <c r="C3" s="37"/>
      <c r="D3" s="37"/>
      <c r="E3" s="37"/>
      <c r="F3" s="37"/>
      <c r="G3" s="29"/>
      <c r="H3" s="33"/>
    </row>
    <row r="4" spans="1:8" ht="30" customHeight="1" x14ac:dyDescent="0.25">
      <c r="A4" s="38" t="s">
        <v>281</v>
      </c>
      <c r="B4" s="37" t="s">
        <v>277</v>
      </c>
      <c r="C4" s="37" t="s">
        <v>278</v>
      </c>
      <c r="D4" s="37"/>
      <c r="E4" s="37"/>
      <c r="F4" s="37"/>
      <c r="G4" s="29"/>
      <c r="H4" s="33"/>
    </row>
    <row r="5" spans="1:8" ht="30" customHeight="1" x14ac:dyDescent="0.25">
      <c r="A5" s="38" t="s">
        <v>282</v>
      </c>
      <c r="B5" s="37" t="s">
        <v>279</v>
      </c>
      <c r="C5" s="37"/>
      <c r="D5" s="37"/>
      <c r="E5" s="37"/>
      <c r="F5" s="37"/>
      <c r="G5" s="29"/>
      <c r="H5" s="33"/>
    </row>
    <row r="6" spans="1:8" ht="30" customHeight="1" thickBot="1" x14ac:dyDescent="0.3">
      <c r="A6" s="39"/>
      <c r="B6" s="40" t="s">
        <v>280</v>
      </c>
      <c r="C6" s="40"/>
      <c r="D6" s="40"/>
      <c r="E6" s="40"/>
      <c r="F6" s="40"/>
      <c r="G6" s="44"/>
      <c r="H6" s="34"/>
    </row>
    <row r="7" spans="1:8" ht="18.75" thickBot="1" x14ac:dyDescent="0.3">
      <c r="A7" s="41"/>
      <c r="B7" s="37"/>
      <c r="C7" s="37"/>
      <c r="D7" s="37"/>
      <c r="E7" s="37"/>
      <c r="F7" s="37"/>
      <c r="G7" s="30"/>
      <c r="H7" s="31"/>
    </row>
    <row r="8" spans="1:8" ht="18" x14ac:dyDescent="0.25">
      <c r="A8" s="41"/>
      <c r="B8" s="37"/>
      <c r="C8" s="37"/>
      <c r="D8" s="37"/>
      <c r="E8" s="37"/>
      <c r="F8" s="37"/>
    </row>
  </sheetData>
  <mergeCells count="1">
    <mergeCell ref="B2:E2"/>
  </mergeCell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Precisión CLSI A3</vt:lpstr>
      <vt:lpstr> Veracidad CLSI A3</vt:lpstr>
      <vt:lpstr>Cálculo t</vt:lpstr>
      <vt:lpstr>Hoja1</vt:lpstr>
      <vt:lpstr>' Veracidad CLSI A3'!Área_de_impresión</vt:lpstr>
      <vt:lpstr>'Precisión CLSI A3'!Área_de_impresión</vt:lpstr>
      <vt:lpstr>CVR_Obtenido_en_condiciones_de_Repetibilidad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Orellana E</dc:creator>
  <cp:lastModifiedBy>Luis Valenzuela</cp:lastModifiedBy>
  <cp:lastPrinted>2016-12-24T20:02:34Z</cp:lastPrinted>
  <dcterms:created xsi:type="dcterms:W3CDTF">2016-11-08T00:10:59Z</dcterms:created>
  <dcterms:modified xsi:type="dcterms:W3CDTF">2017-01-06T20:04:12Z</dcterms:modified>
</cp:coreProperties>
</file>